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8.xml" ContentType="application/vnd.openxmlformats-officedocument.drawing+xml"/>
  <Override PartName="/xl/drawings/drawing7.xml" ContentType="application/vnd.openxmlformats-officedocument.drawing+xml"/>
  <Override PartName="/xl/drawings/drawing6.xml" ContentType="application/vnd.openxmlformats-officedocument.drawing+xml"/>
  <Override PartName="/xl/worksheets/sheet1.xml" ContentType="application/vnd.openxmlformats-officedocument.spreadsheetml.worksheet+xml"/>
  <Override PartName="/xl/theme/theme1.xml" ContentType="application/vnd.openxmlformats-officedocument.theme+xml"/>
  <Override PartName="/xl/drawings/drawing3.xml" ContentType="application/vnd.openxmlformats-officedocument.drawing+xml"/>
  <Override PartName="/xl/worksheets/sheet10.xml" ContentType="application/vnd.openxmlformats-officedocument.spreadsheetml.worksheet+xml"/>
  <Override PartName="/xl/worksheets/sheet11.xml" ContentType="application/vnd.openxmlformats-officedocument.spreadsheetml.worksheet+xml"/>
  <Override PartName="/xl/drawings/drawing2.xml" ContentType="application/vnd.openxmlformats-officedocument.drawing+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sheets/sheet12.xml" ContentType="application/vnd.openxmlformats-officedocument.spreadsheetml.worksheet+xml"/>
  <Override PartName="/xl/worksheets/sheet9.xml" ContentType="application/vnd.openxmlformats-officedocument.spreadsheetml.worksheet+xml"/>
  <Override PartName="/xl/worksheets/sheet7.xml" ContentType="application/vnd.openxmlformats-officedocument.spreadsheetml.worksheet+xml"/>
  <Override PartName="/xl/drawings/drawing5.xml" ContentType="application/vnd.openxmlformats-officedocument.drawing+xml"/>
  <Override PartName="/xl/worksheets/sheet8.xml" ContentType="application/vnd.openxmlformats-officedocument.spreadsheetml.worksheet+xml"/>
  <Override PartName="/xl/worksheets/sheet6.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comments1.xml" ContentType="application/vnd.openxmlformats-officedocument.spreadsheetml.comments+xml"/>
  <Override PartName="/docProps/app.xml" ContentType="application/vnd.openxmlformats-officedocument.extended-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0" yWindow="0" windowWidth="14400" windowHeight="12705" tabRatio="823" activeTab="4"/>
  </bookViews>
  <sheets>
    <sheet name="Financial Statement Inputs" sheetId="10" r:id="rId1"/>
    <sheet name="IncomeStatements" sheetId="1" r:id="rId2"/>
    <sheet name="BalanceSheets" sheetId="2" r:id="rId3"/>
    <sheet name="CashFlows" sheetId="8" r:id="rId4"/>
    <sheet name="HistoricalRatios" sheetId="22" r:id="rId5"/>
    <sheet name="ProjectedInputs" sheetId="9" r:id="rId6"/>
    <sheet name="ProjectedIncomeStatement" sheetId="16" r:id="rId7"/>
    <sheet name="ProjectedBalanceSheet" sheetId="17" r:id="rId8"/>
    <sheet name="ProjectedCashFlows" sheetId="18" r:id="rId9"/>
    <sheet name="IncomeSensitivity" sheetId="19" r:id="rId10"/>
    <sheet name="IncomeScenario" sheetId="20" r:id="rId11"/>
    <sheet name="BalanceScenario" sheetId="21" r:id="rId12"/>
  </sheets>
  <externalReferences>
    <externalReference r:id="rId13"/>
  </externalReferences>
  <definedNames>
    <definedName name="Account" localSheetId="7">[1]PHP!#REF!</definedName>
    <definedName name="Account" localSheetId="8">[1]PHP!#REF!</definedName>
    <definedName name="Account" localSheetId="6">[1]PHP!#REF!</definedName>
    <definedName name="BSpecFunc" localSheetId="7">[1]PHP!#REF!</definedName>
    <definedName name="BSpecFunc" localSheetId="8">[1]PHP!#REF!</definedName>
    <definedName name="BSpecFunc" localSheetId="6">[1]PHP!#REF!</definedName>
    <definedName name="invincome" localSheetId="7">#REF!</definedName>
    <definedName name="invincome" localSheetId="8">#REF!</definedName>
    <definedName name="invincome" localSheetId="6">#REF!</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FAMILY_RES_DOM_FFIEC" hidden="1">"c15269"</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AVAIL_SALE_FFIEC" hidden="1">"c12802"</definedName>
    <definedName name="IQ_ABS_FFIEC" hidden="1">"c12788"</definedName>
    <definedName name="IQ_ABS_INVEST_SECURITIES_FFIEC" hidden="1">"c13461"</definedName>
    <definedName name="IQ_ABS_PERIOD" hidden="1">"c13823"</definedName>
    <definedName name="IQ_ACCEPTANCES_OTHER_FOREIGN_BANKS_LL_REC_FFIEC" hidden="1">"c15293"</definedName>
    <definedName name="IQ_ACCEPTANCES_OTHER_US_BANKS_LL_REC_FFIEC" hidden="1">"c15292"</definedName>
    <definedName name="IQ_ACCOUNT_CHANGE" hidden="1">"c1449"</definedName>
    <definedName name="IQ_ACCOUNTING_FFIEC" hidden="1">"c13054"</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EREST_RECEIVABLE_FFIEC" hidden="1">"c12842"</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S_INVEST_SECURITIES_FFIEC" hidden="1">"c13456"</definedName>
    <definedName name="IQ_AFS_SECURITIES_TIER_1_FFIEC" hidden="1">"c13343"</definedName>
    <definedName name="IQ_AG_PROD_FARM_LOANS_DOM_QUARTERLY_AVG_FFIEC" hidden="1">"c15477"</definedName>
    <definedName name="IQ_AGENCY_INVEST_SECURITIES_FFIEC" hidden="1">"c13458"</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_OTHER_DEPOSITS_FOREIGN_DEP_FFIEC" hidden="1">"c15347"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RECOV_FFIEC" hidden="1">"c13205"</definedName>
    <definedName name="IQ_ALL_OTHER_TRADING_LIABILITIES_DOM_FFIEC" hidden="1">"c12942"</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ABLE_T2_CAPITAL_FFIEC" hidden="1">"c13150"</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MORT_EXP_IMPAIRMENT_OTHER_INTANGIBLE_ASSETS_FFIEC" hidden="1">"c13026"</definedName>
    <definedName name="IQ_AMORTIZATION" hidden="1">"c1591"</definedName>
    <definedName name="IQ_AMOUNT_FINANCIAL_LOC_CONVEYED_FFIEC" hidden="1">"c13250"</definedName>
    <definedName name="IQ_AMOUNT_PERFORMANCE_LOC_CONVEYED_FFIEC" hidden="1">"c13252"</definedName>
    <definedName name="IQ_ANALYST_EMAIL" hidden="1">"c13738"</definedName>
    <definedName name="IQ_ANALYST_NAME" hidden="1">"c13736"</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REPRICE_ASSETS_TOT_FFIEC" hidden="1">"c13454"</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DIRECT_FAX" hidden="1">"c15176"</definedName>
    <definedName name="IQ_BOARD_MEMBER_DIRECT_PHONE" hidden="1">"c15175"</definedName>
    <definedName name="IQ_BOARD_MEMBER_EMAIL" hidden="1">"c15177"</definedName>
    <definedName name="IQ_BOARD_MEMBER_ID" hidden="1">"c13756"</definedName>
    <definedName name="IQ_BOARD_MEMBER_MAIN_FAX" hidden="1">"c15174"</definedName>
    <definedName name="IQ_BOARD_MEMBER_MAIN_PHONE" hidden="1">"c15173"</definedName>
    <definedName name="IQ_BOARD_MEMBER_OFFICE_ADDRESS" hidden="1">"c15172"</definedName>
    <definedName name="IQ_BOARD_MEMBER_TITLE" hidden="1">"c97"</definedName>
    <definedName name="IQ_BOND_LIST" hidden="1">"c13505"</definedName>
    <definedName name="IQ_BORROWED_MONEY_QUARTERLY_AVG_FFIEC" hidden="1">"c13091"</definedName>
    <definedName name="IQ_BORROWINGS_LESS_1YR_ASSETS_TOT_FFIEC" hidden="1">"c13450"</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COMBINATIONS_FFIEC" hidden="1">"c12967"</definedName>
    <definedName name="IQ_BUSINESS_DESCRIPTION" hidden="1">"c322"</definedName>
    <definedName name="IQ_BV_ACT_OR_EST_CIQ" hidden="1">"c5068"</definedName>
    <definedName name="IQ_BV_OVER_SHARES" hidden="1">"c1349"</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Y" hidden="1">"c102"</definedName>
    <definedName name="IQ_CAL_Y_EST" hidden="1">"c6797"</definedName>
    <definedName name="IQ_CAL_Y_EST_CIQ" hidden="1">"c6809"</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ALLOCATION_ADJUSTMENT_FOREIGN_FFIEC" hidden="1">"c15389"</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_CIQ" hidden="1">"c4566"</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RUCTURED_PRODUCTS_AVAIL_SALE_FFIEC" hidden="1">"c15263"</definedName>
    <definedName name="IQ_CASH_STRUCTURED_PRODUCTS_FFIEC" hidden="1">"c15260"</definedName>
    <definedName name="IQ_CASH_TAXES" hidden="1">"c125"</definedName>
    <definedName name="IQ_CASH_TAXES_FINAN" hidden="1">"c6292"</definedName>
    <definedName name="IQ_CASH_TAXES_INVEST" hidden="1">"c6291"</definedName>
    <definedName name="IQ_CASH_TAXES_OPER" hidden="1">"c6290"</definedName>
    <definedName name="IQ_CDS_DERIVATIVES_BENEFICIARY_FFIEC" hidden="1">"c13119"</definedName>
    <definedName name="IQ_CDS_DERIVATIVES_GUARANTOR_FFIEC" hidden="1">"c13112"</definedName>
    <definedName name="IQ_CDS_LIST" hidden="1">"c13510"</definedName>
    <definedName name="IQ_CDS_LOAN_LIST" hidden="1">"c13518"</definedName>
    <definedName name="IQ_CDS_SENIOR_LIST" hidden="1">"c13508"</definedName>
    <definedName name="IQ_CDS_SUB_LIST" hidden="1">"c13509"</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MBS_ISSUED_AVAIL_SALE_FFIEC" hidden="1">"c12800"</definedName>
    <definedName name="IQ_CMBS_ISSUED_FFIEC" hidden="1">"c12786"</definedName>
    <definedName name="IQ_COGS" hidden="1">"c175"</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DOM" hidden="1">"c177"</definedName>
    <definedName name="IQ_COMMERCIAL_FIRE_WRITTEN" hidden="1">"c178"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FFIEC" hidden="1">"c12876"</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RUCTION_LAND_DEV_DOM_FFIEC" hidden="1">"c15267"</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IBUTOR_CIQID" hidden="1">"c13742"</definedName>
    <definedName name="IQ_CONTRIBUTOR_NAME" hidden="1">"c13735"</definedName>
    <definedName name="IQ_CONTRIBUTOR_START_DATE" hidden="1">"c13741"</definedName>
    <definedName name="IQ_CONVERSION_COMMON_FFIEC" hidden="1">"c12964"</definedName>
    <definedName name="IQ_CONVERSION_PREF_FFIEC" hidden="1">"c12962"</definedName>
    <definedName name="IQ_CONVERT" hidden="1">"c2536"</definedName>
    <definedName name="IQ_CONVERT_PCT" hidden="1">"c2537"</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_PURCHASED_FFIEC" hidden="1">"c13491"</definedName>
    <definedName name="IQ_COST_INT_DEPOSITS_FFIEC" hidden="1">"c13489"</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AGE_RATIO" hidden="1">"c15243"</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NON_ACCRUAL_FFIEC" hidden="1">"c13324"</definedName>
    <definedName name="IQ_CREDIT_CARD_LOANS_RECOV_FFIEC" hidden="1">"c13202"</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TOMER_LIAB_ACCEPTANCES_OUT_FFIEC" hidden="1">"c12835"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A_PROCESSING_EXP_FFIEC" hidden="1">"c13047"</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_ASSETS_FFIEC" hidden="1">"c12843"</definedName>
    <definedName name="IQ_DEFERRED_TAX_ASSETS_T1_FFIEC" hidden="1">"c13141"</definedName>
    <definedName name="IQ_DEFERRED_TAX_LIAB_FFIEC" hidden="1">"c12870"</definedName>
    <definedName name="IQ_DEFERRED_TAXES" hidden="1">"c1356"</definedName>
    <definedName name="IQ_DEMAND_DEP" hidden="1">"c320"</definedName>
    <definedName name="IQ_DEMAND_DEPOSITS_COMMERCIAL_BANK_SUBS_FFIEC" hidden="1">"c12945"</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LESS_100K_COMMERCIAL_BANK_SUBS_FFIEC" hidden="1">"c12948"</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RE_AMORT" hidden="1">"c1360"</definedName>
    <definedName name="IQ_DEPRE_AMORT_SUPPL" hidden="1">"c1593"</definedName>
    <definedName name="IQ_DEPRE_DEPLE" hidden="1">"c1361"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IC" hidden="1">"c13834"</definedName>
    <definedName name="IQ_DIFF_LASTCLOSE_TARGET_PRICE" hidden="1">"c1854"</definedName>
    <definedName name="IQ_DIFF_LASTCLOSE_TARGET_PRICE_CIQ" hidden="1">"c4767"</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_CIQ" hidden="1">"c4811"</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CO_FFIEC" hidden="1">"c13032"</definedName>
    <definedName name="IQ_EARNINGS_COVERAGE_LOSSES_FFIEC" hidden="1">"c13351"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_SBC_ACT_OR_EST_CIQ" hidden="1">"c4841"</definedName>
    <definedName name="IQ_EBIT_SBC_GW_ACT_OR_EST_CIQ" hidden="1">"c4845"</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XCL_SBC" hidden="1">"c3081"</definedName>
    <definedName name="IQ_EBITDA_HIGH_EST" hidden="1">"c370"</definedName>
    <definedName name="IQ_EBITDA_HIGH_EST_CIQ" hidden="1">"c3624"</definedName>
    <definedName name="IQ_EBITDA_INT" hidden="1">"c373"</definedName>
    <definedName name="IQ_EBITDA_LOW_EST" hidden="1">"c371"</definedName>
    <definedName name="IQ_EBITDA_LOW_EST_CIQ" hidden="1">"c3625"</definedName>
    <definedName name="IQ_EBITDA_MARGIN" hidden="1">"c372"</definedName>
    <definedName name="IQ_EBITDA_MEDIAN_EST" hidden="1">"c1663"</definedName>
    <definedName name="IQ_EBITDA_MEDIAN_EST_CIQ" hidden="1">"c3623"</definedName>
    <definedName name="IQ_EBITDA_NUM_EST" hidden="1">"c374"</definedName>
    <definedName name="IQ_EBITDA_NUM_EST_CIQ" hidden="1">"c3626"</definedName>
    <definedName name="IQ_EBITDA_OVER_TOTAL_IE" hidden="1">"c1371"</definedName>
    <definedName name="IQ_EBITDA_SBC_ACT_OR_EST_CIQ" hidden="1">"c4862"</definedName>
    <definedName name="IQ_EBITDA_STDDEV_EST" hidden="1">"c375"</definedName>
    <definedName name="IQ_EBITDA_STDDEV_EST_CIQ" hidden="1">"c3627"</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INCL_MARGIN" hidden="1">"c387"</definedName>
    <definedName name="IQ_EBT_INS" hidden="1">"c388"</definedName>
    <definedName name="IQ_EBT_RE" hidden="1">"c6215"</definedName>
    <definedName name="IQ_EBT_REIT" hidden="1">"c389"</definedName>
    <definedName name="IQ_EBT_SBC_ACT_OR_EST_CIQ" hidden="1">"c4875"</definedName>
    <definedName name="IQ_EBT_SBC_GW_ACT_OR_EST_CIQ" hidden="1">"c4879"</definedName>
    <definedName name="IQ_EBT_SUBTOTAL_AP" hidden="1">"c8982"</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BOTTOM_UP_CIQ" hidden="1">"c12026"</definedName>
    <definedName name="IQ_EPS_EST_CIQ" hidden="1">"c4994"</definedName>
    <definedName name="IQ_EPS_GW_ACT_OR_EST" hidden="1">"c2223"</definedName>
    <definedName name="IQ_EPS_GW_ACT_OR_EST_CIQ" hidden="1">"c5066"</definedName>
    <definedName name="IQ_EPS_GW_EST" hidden="1">"c1737"</definedName>
    <definedName name="IQ_EPS_GW_EST_BOTTOM_UP_CIQ" hidden="1">"c12028"</definedName>
    <definedName name="IQ_EPS_GW_EST_CIQ" hidden="1">"c4723"</definedName>
    <definedName name="IQ_EPS_GW_HIGH_EST" hidden="1">"c1739"</definedName>
    <definedName name="IQ_EPS_GW_HIGH_EST_CIQ" hidden="1">"c4725"</definedName>
    <definedName name="IQ_EPS_GW_LOW_EST" hidden="1">"c1740"</definedName>
    <definedName name="IQ_EPS_GW_LOW_EST_CIQ" hidden="1">"c4726"</definedName>
    <definedName name="IQ_EPS_GW_MEDIAN_EST" hidden="1">"c1738"</definedName>
    <definedName name="IQ_EPS_GW_MEDIAN_EST_CIQ" hidden="1">"c4724"</definedName>
    <definedName name="IQ_EPS_GW_NUM_EST" hidden="1">"c1741"</definedName>
    <definedName name="IQ_EPS_GW_NUM_EST_CIQ" hidden="1">"c4727"</definedName>
    <definedName name="IQ_EPS_GW_STDDEV_EST" hidden="1">"c1742"</definedName>
    <definedName name="IQ_EPS_GW_STDDEV_EST_CIQ" hidden="1">"c4728"</definedName>
    <definedName name="IQ_EPS_HIGH_EST" hidden="1">"c400"</definedName>
    <definedName name="IQ_EPS_HIGH_EST_CIQ" hidden="1">"c4995"</definedName>
    <definedName name="IQ_EPS_LOW_EST" hidden="1">"c401"</definedName>
    <definedName name="IQ_EPS_LOW_EST_CIQ" hidden="1">"c4996"</definedName>
    <definedName name="IQ_EPS_MEDIAN_EST" hidden="1">"c1661"</definedName>
    <definedName name="IQ_EPS_MEDIAN_EST_CIQ" hidden="1">"c4997"</definedName>
    <definedName name="IQ_EPS_NAME_AP" hidden="1">"c8918"</definedName>
    <definedName name="IQ_EPS_NAME_AP_ABS" hidden="1">"c8937"</definedName>
    <definedName name="IQ_EPS_NORM" hidden="1">"c1902"</definedName>
    <definedName name="IQ_EPS_NORM_EST" hidden="1">"c2226"</definedName>
    <definedName name="IQ_EPS_NORM_EST_BOTTOM_UP_CIQ" hidden="1">"c12027"</definedName>
    <definedName name="IQ_EPS_NORM_EST_CIQ" hidden="1">"c4667"</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REPORT_ACT_OR_EST" hidden="1">"c2224"</definedName>
    <definedName name="IQ_EPS_REPORT_ACT_OR_EST_CIQ" hidden="1">"c5067"</definedName>
    <definedName name="IQ_EPS_REPORTED_EST" hidden="1">"c1744"</definedName>
    <definedName name="IQ_EPS_REPORTED_EST_BOTTOM_UP_CIQ" hidden="1">"c12029"</definedName>
    <definedName name="IQ_EPS_REPORTED_EST_CIQ" hidden="1">"c4730"</definedName>
    <definedName name="IQ_EPS_REPORTED_HIGH_EST" hidden="1">"c1746"</definedName>
    <definedName name="IQ_EPS_REPORTED_HIGH_EST_CIQ" hidden="1">"c4732"</definedName>
    <definedName name="IQ_EPS_REPORTED_LOW_EST" hidden="1">"c1747"</definedName>
    <definedName name="IQ_EPS_REPORTED_LOW_EST_CIQ" hidden="1">"c4733"</definedName>
    <definedName name="IQ_EPS_REPORTED_MEDIAN_EST" hidden="1">"c1745"</definedName>
    <definedName name="IQ_EPS_REPORTED_MEDIAN_EST_CIQ" hidden="1">"c4731"</definedName>
    <definedName name="IQ_EPS_REPORTED_NUM_EST" hidden="1">"c1748"</definedName>
    <definedName name="IQ_EPS_REPORTED_NUM_EST_CIQ" hidden="1">"c4734"</definedName>
    <definedName name="IQ_EPS_REPORTED_STDDEV_EST" hidden="1">"c1749"</definedName>
    <definedName name="IQ_EPS_REPORTED_STDDEV_EST_CIQ" hidden="1">"c4735"</definedName>
    <definedName name="IQ_EPS_SBC_ACT_OR_EST_CIQ" hidden="1">"c4901"</definedName>
    <definedName name="IQ_EPS_SBC_GW_ACT_OR_EST_CIQ" hidden="1">"c4905"</definedName>
    <definedName name="IQ_EPS_STDDEV_EST" hidden="1">"c403"</definedName>
    <definedName name="IQ_EPS_STDDEV_EST_CIQ" hidden="1">"c4993"</definedName>
    <definedName name="IQ_EQUITY_AFFIL" hidden="1">"c1451"</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QUARTERLY_AVG_FFIEC" hidden="1">"c13092"</definedName>
    <definedName name="IQ_EQUITY_ENDING_FFIEC" hidden="1">"c12973"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FFIEC" hidden="1">"c12805"</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OP_DEBT" hidden="1">"c1597"</definedName>
    <definedName name="IQ_ESOP_DEBT_GUARANTEED_FFIEC" hidden="1">"c12971"</definedName>
    <definedName name="IQ_ESOP_OVER_TOTAL" hidden="1">"c13768"</definedName>
    <definedName name="IQ_EST_ACT_EBITDA" hidden="1">"c1664"</definedName>
    <definedName name="IQ_EST_ACT_EBITDA_CIQ" hidden="1">"c3667"</definedName>
    <definedName name="IQ_EST_ACT_EPS" hidden="1">"c1648"</definedName>
    <definedName name="IQ_EST_ACT_EPS_CIQ" hidden="1">"c4998"</definedName>
    <definedName name="IQ_EST_ACT_EPS_GW" hidden="1">"c1743"</definedName>
    <definedName name="IQ_EST_ACT_EPS_GW_CIQ" hidden="1">"c4729"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REV" hidden="1">"c2113"</definedName>
    <definedName name="IQ_EST_ACT_REV_CIQ" hidden="1">"c3666"</definedName>
    <definedName name="IQ_EST_CURRENCY" hidden="1">"c2140"</definedName>
    <definedName name="IQ_EST_CURRENCY_CIQ" hidden="1">"c4769"</definedName>
    <definedName name="IQ_EST_DATE" hidden="1">"c1634"</definedName>
    <definedName name="IQ_EST_DATE_CIQ" hidden="1">"c4770"</definedName>
    <definedName name="IQ_EST_EBITDA_DIFF" hidden="1">"c1867"</definedName>
    <definedName name="IQ_EST_EBITDA_DIFF_CIQ" hidden="1">"c3719"</definedName>
    <definedName name="IQ_EST_EBITDA_GROWTH_1YR" hidden="1">"c1766"</definedName>
    <definedName name="IQ_EST_EBITDA_GROWTH_1YR_CIQ" hidden="1">"c3695"</definedName>
    <definedName name="IQ_EST_EBITDA_GROWTH_2YR" hidden="1">"c1767"</definedName>
    <definedName name="IQ_EST_EBITDA_GROWTH_2YR_CIQ" hidden="1">"c3696"</definedName>
    <definedName name="IQ_EST_EBITDA_GROWTH_Q_1YR" hidden="1">"c1768"</definedName>
    <definedName name="IQ_EST_EBITDA_GROWTH_Q_1YR_CIQ" hidden="1">"c3697"</definedName>
    <definedName name="IQ_EST_EBITDA_SEQ_GROWTH_Q" hidden="1">"c1769"</definedName>
    <definedName name="IQ_EST_EBITDA_SEQ_GROWTH_Q_CIQ" hidden="1">"c3698"</definedName>
    <definedName name="IQ_EST_EBITDA_SURPRISE_PERCENT" hidden="1">"c1868"</definedName>
    <definedName name="IQ_EST_EBITDA_SURPRISE_PERCENT_CIQ" hidden="1">"c3720"</definedName>
    <definedName name="IQ_EST_EPS_DIFF" hidden="1">"c1864"</definedName>
    <definedName name="IQ_EST_EPS_DIFF_CIQ" hidden="1">"c4999"</definedName>
    <definedName name="IQ_EST_EPS_GROWTH_1YR" hidden="1">"c1636"</definedName>
    <definedName name="IQ_EST_EPS_GROWTH_1YR_CIQ" hidden="1">"c3628"</definedName>
    <definedName name="IQ_EST_EPS_GROWTH_2YR" hidden="1">"c1637"</definedName>
    <definedName name="IQ_EST_EPS_GROWTH_2YR_CIQ" hidden="1">"c3689"</definedName>
    <definedName name="IQ_EST_EPS_GROWTH_5YR" hidden="1">"c1655"</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W_DIFF" hidden="1">"c1891"</definedName>
    <definedName name="IQ_EST_EPS_GW_DIFF_CIQ" hidden="1">"c4761"</definedName>
    <definedName name="IQ_EST_EPS_GW_SURPRISE_PERCENT" hidden="1">"c1892"</definedName>
    <definedName name="IQ_EST_EPS_GW_SURPRISE_PERCENT_CIQ" hidden="1">"c4762"</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SURPRISE_PERCENT" hidden="1">"c1894"</definedName>
    <definedName name="IQ_EST_EPS_REPORT_SURPRISE_PERCENT_CIQ" hidden="1">"c4764"</definedName>
    <definedName name="IQ_EST_EPS_SEQ_GROWTH_Q" hidden="1">"c1764"</definedName>
    <definedName name="IQ_EST_EPS_SEQ_GROWTH_Q_CIQ" hidden="1">"c3690"</definedName>
    <definedName name="IQ_EST_EPS_SURPRISE_PERCENT" hidden="1">"c1635"</definedName>
    <definedName name="IQ_EST_EPS_SURPRISE_PERCENT_CIQ" hidden="1">"c5000"</definedName>
    <definedName name="IQ_EST_FAIR_VALUE_MORT_SERVICING_ASSETS_FFIEC" hidden="1">"c12956"</definedName>
    <definedName name="IQ_EST_FOOTNOTE" hidden="1">"c4540"</definedName>
    <definedName name="IQ_EST_FOOTNOTE_CIQ" hidden="1">"c12022"</definedName>
    <definedName name="IQ_EST_NEXT_EARNINGS_DATE" hidden="1">"c13591"</definedName>
    <definedName name="IQ_EST_NUM_BUY" hidden="1">"c1759"</definedName>
    <definedName name="IQ_EST_NUM_HIGH_REC" hidden="1">"c5649"</definedName>
    <definedName name="IQ_EST_NUM_HIGH_REC_CIQ" hidden="1">"c3701"</definedName>
    <definedName name="IQ_EST_NUM_HIGHEST_REC" hidden="1">"c5648"</definedName>
    <definedName name="IQ_EST_NUM_HIGHEST_REC_CIQ" hidden="1">"c3700"</definedName>
    <definedName name="IQ_EST_NUM_HOLD" hidden="1">"c1761"</definedName>
    <definedName name="IQ_EST_NUM_LOW_REC" hidden="1">"c5651"</definedName>
    <definedName name="IQ_EST_NUM_LOW_REC_CIQ" hidden="1">"c3703"</definedName>
    <definedName name="IQ_EST_NUM_LOWEST_REC" hidden="1">"c5652"</definedName>
    <definedName name="IQ_EST_NUM_LOWEST_REC_CIQ" hidden="1">"c3704"</definedName>
    <definedName name="IQ_EST_NUM_NEUTRAL_REC" hidden="1">"c5650"</definedName>
    <definedName name="IQ_EST_NUM_NEUTRAL_REC_CIQ" hidden="1">"c3702"</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REV_DIFF" hidden="1">"c1865"</definedName>
    <definedName name="IQ_EST_REV_DIFF_CIQ" hidden="1">"c3717"</definedName>
    <definedName name="IQ_EST_REV_GROWTH_1YR" hidden="1">"c1638"</definedName>
    <definedName name="IQ_EST_REV_GROWTH_1YR_CIQ" hidden="1">"c3691"</definedName>
    <definedName name="IQ_EST_REV_GROWTH_2YR" hidden="1">"c1639"</definedName>
    <definedName name="IQ_EST_REV_GROWTH_2YR_CIQ" hidden="1">"c3692"</definedName>
    <definedName name="IQ_EST_REV_GROWTH_Q_1YR" hidden="1">"c1640"</definedName>
    <definedName name="IQ_EST_REV_GROWTH_Q_1YR_CIQ" hidden="1">"c3693"</definedName>
    <definedName name="IQ_EST_REV_SEQ_GROWTH_Q" hidden="1">"c1765"</definedName>
    <definedName name="IQ_EST_REV_SEQ_GROWTH_Q_CIQ" hidden="1">"c3694"</definedName>
    <definedName name="IQ_EST_REV_SURPRISE_PERCENT" hidden="1">"c1866"</definedName>
    <definedName name="IQ_EST_REV_SURPRISE_PERCENT_CIQ" hidden="1">"c3718"</definedName>
    <definedName name="IQ_EV_OVER_EMPLOYEE" hidden="1">"c1428"</definedName>
    <definedName name="IQ_EV_OVER_LTM_EBIT" hidden="1">"c1426"</definedName>
    <definedName name="IQ_EV_OVER_LTM_EBITDA" hidden="1">"c1427"</definedName>
    <definedName name="IQ_EV_OVER_LTM_REVENUE" hidden="1">"c1429"</definedName>
    <definedName name="IQ_EVENT_DATE" hidden="1">"c13819"</definedName>
    <definedName name="IQ_EVENT_ID" hidden="1">"c13818"</definedName>
    <definedName name="IQ_EVENT_TIME" hidden="1">"c13820"</definedName>
    <definedName name="IQ_EVENT_TYPE" hidden="1">"c13821"</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RM_LOANS_TOT_LOANS_FFIEC" hidden="1">"c13870"</definedName>
    <definedName name="IQ_FARMLAND_DOM_FFIEC" hidden="1">"c15268"</definedName>
    <definedName name="IQ_FDIC" hidden="1">"c417"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SOLD" hidden="1">"c2256"</definedName>
    <definedName name="IQ_FEES_COMMISSIONS_BROKERAGE_FFIEC" hidden="1">"c13005"</definedName>
    <definedName name="IQ_FEES_OTHER_INCOME" hidden="1">"c15257"</definedName>
    <definedName name="IQ_FFO" hidden="1">"c1574"</definedName>
    <definedName name="IQ_FFO_ADJ_ACT_OR_EST_CIQ" hidden="1">"c4960"</definedName>
    <definedName name="IQ_FFO_PAYOUT_RATIO" hidden="1">"c3492"</definedName>
    <definedName name="IQ_FFO_PER_SHARE_BASIC" hidden="1">"c8867"</definedName>
    <definedName name="IQ_FFO_PER_SHARE_DILUTED" hidden="1">"c8868"</definedName>
    <definedName name="IQ_FFO_SHARE_ACT_OR_EST_CIQ" hidden="1">"c4971"</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INCOME_OPERATING_INC_FFIEC" hidden="1">"c13383"</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VE_PERCENT_OWNER" hidden="1">"c442"</definedName>
    <definedName name="IQ_FIVEPERCENT_PERCENT" hidden="1">"c443"</definedName>
    <definedName name="IQ_FIVEPERCENT_SHARES" hidden="1">"c444"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UNDATION_OVER_TOTAL" hidden="1">"c13769"</definedName>
    <definedName name="IQ_FQ" hidden="1">500</definedName>
    <definedName name="IQ_FUEL" hidden="1">"c449"</definedName>
    <definedName name="IQ_FULL_TIME" hidden="1">"c450"</definedName>
    <definedName name="IQ_FULLY_INSURED_BROKERED_DEPOSITS_FFIEC" hidden="1">"c15305"</definedName>
    <definedName name="IQ_FUND_FEE_INC_NON_INT_INC_FFIEC" hidden="1">"c13493"</definedName>
    <definedName name="IQ_FUND_NAV" hidden="1">"c15225"</definedName>
    <definedName name="IQ_FUNDING_DEPENDENCE_FFIEC" hidden="1">"c13336"</definedName>
    <definedName name="IQ_FUNDING_DEPENDENCE_ST_FFIEC" hidden="1">"c13337"</definedName>
    <definedName name="IQ_FUNDS_PURCHASED_ASSETS_TOT_FFIEC" hidden="1">"c13446"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Y" hidden="1">1000</definedName>
    <definedName name="IQ_GA_EXP" hidden="1">"c2241"</definedName>
    <definedName name="IQ_GAAP_BS" hidden="1">"c6789"</definedName>
    <definedName name="IQ_GAAP_CF" hidden="1">"c6790"</definedName>
    <definedName name="IQ_GAAP_EST_CIQ" hidden="1">"c13924"</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_AVG_LOANS_FFIEC" hidden="1">"c13475"</definedName>
    <definedName name="IQ_GROSS_MARGIN" hidden="1">"c529"</definedName>
    <definedName name="IQ_GROSS_PC_EARNED" hidden="1">"c2747"</definedName>
    <definedName name="IQ_GROSS_PROFIT" hidden="1">"c1378"</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TARGET_PRICE" hidden="1">"c1651"</definedName>
    <definedName name="IQ_HIGH_TARGET_PRICE_CIQ" hidden="1">"c4659"</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VAIL_SALE_FFIEC" hidden="1">"c15265"</definedName>
    <definedName name="IQ_HYBRID_STRUCTURED_PRODUCTS_FFIEC" hidden="1">"c15262"</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TYPE" hidden="1">"c15223"</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DIRECT_FAX" hidden="1">"c15189"</definedName>
    <definedName name="IQ_INDIVIDUAL_DIRECT_PHONE" hidden="1">"c15188"</definedName>
    <definedName name="IQ_INDIVIDUAL_EDUCATION" hidden="1">"c15203"</definedName>
    <definedName name="IQ_INDIVIDUAL_EMAIL" hidden="1">"c15193"</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MAIN_FAX" hidden="1">"c15187"</definedName>
    <definedName name="IQ_INDIVIDUAL_MAIN_PHONE" hidden="1">"c15186"</definedName>
    <definedName name="IQ_INDIVIDUAL_MOBILE" hidden="1">"c15198"</definedName>
    <definedName name="IQ_INDIVIDUAL_NICKNAME" hidden="1">"c15192"</definedName>
    <definedName name="IQ_INDIVIDUAL_NOTES" hidden="1">"c15204"</definedName>
    <definedName name="IQ_INDIVIDUAL_OFFICE_ADDRESS" hidden="1">"c15185"</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SPECIALTY" hidden="1">"c15190"</definedName>
    <definedName name="IQ_INDIVIDUAL_TITLE" hidden="1">"c15183"</definedName>
    <definedName name="IQ_INDIVIDUALS_GROSS_LOANS_FFIEC" hidden="1">"c13411"</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SURANCE_REINSURANCE_UNDERWRITING_INCOME_FFIEC" hidden="1">"c13008"</definedName>
    <definedName name="IQ_INSURANCE_REV_OPERATING_INC_FFIEC" hidden="1">"c13387"</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BR"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"c1407"</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BANKING_BROKERAGE_FEES_FFIEC" hidden="1">"c13627"</definedName>
    <definedName name="IQ_INVESTMENT_BANKING_FEES_COMMISSIONS_FFIEC" hidden="1">"c13006"</definedName>
    <definedName name="IQ_IPRD" hidden="1">"c644"</definedName>
    <definedName name="IQ_IPRD_SUPPLE" hidden="1">"c13813"</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RECEIVABLES_FOREIGN_FFIEC" hidden="1">"c13483"</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"c2123"</definedName>
    <definedName name="IQ_LIFE_EARNED" hidden="1">"c2739"</definedName>
    <definedName name="IQ_LIFE_INSURANCE_ASSETS_FFIEC" hidden="1">"c12847"</definedName>
    <definedName name="IQ_LIFOR" hidden="1">"c655"</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RECEIV" hidden="1">"c657"</definedName>
    <definedName name="IQ_LOAN_LOSS" hidden="1">"c1386"</definedName>
    <definedName name="IQ_LOAN_LOSS_ALLOWANCE_NON_PERF_ASSETS_FFIEC" hidden="1">"c13912"</definedName>
    <definedName name="IQ_LOAN_LOSS_PROVISION_FOREIGN_FFIEC" hidden="1">"c15382"</definedName>
    <definedName name="IQ_LOAN_LOSSES_AVERAGE_LOANS_FFIEC" hidden="1">"c13350"</definedName>
    <definedName name="IQ_LOAN_SERVICE_REV" hidden="1">"c658"</definedName>
    <definedName name="IQ_LOANS_AGRICULTURAL_PROD_LL_REC_FFIEC" hidden="1">"c12886"</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TO_NET_EARNED" hidden="1">"c2751"</definedName>
    <definedName name="IQ_LOW_TARGET_PRICE" hidden="1">"c1652"</definedName>
    <definedName name="IQ_LOW_TARGET_PRICE_CIQ" hidden="1">"c4660"</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_CIQ" hidden="1">"c4987"</definedName>
    <definedName name="IQ_MAINT_REPAIR" hidden="1">"c2087"</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BS_INVEST_SECURITIES_FFIEC" hidden="1">"c13460"</definedName>
    <definedName name="IQ_MBS_OTHER_ISSUED_FNMA_OTHERS_AVAIL_SALE_FFIEC" hidden="1">"c12799"</definedName>
    <definedName name="IQ_MBS_OTHER_ISSUED_FNMA_OTHERS_FFIEC" hidden="1">"c12785"</definedName>
    <definedName name="IQ_MBS_PASS_THROUGH_FNMA_AVAIL_SALE_FFIEC" hidden="1">"c12797"</definedName>
    <definedName name="IQ_MBS_PASS_THROUGH_FNMA_FFIEC" hidden="1">"c12783"</definedName>
    <definedName name="IQ_MBS_PASS_THROUGH_GNMA_AVAIL_SALE_FFIEC" hidden="1">"c12796"</definedName>
    <definedName name="IQ_MBS_PASS_THROUGH_GNMA_FFIEC" hidden="1">"c12782"</definedName>
    <definedName name="IQ_MBS_PASS_THROUGH_ISSUED_FNMA_GNMA_TRADING_DOM_FFIEC" hidden="1">"c12921"</definedName>
    <definedName name="IQ_MBS_PASS_THROUGH_OTHER_AVAIL_SALE_FFIEC" hidden="1">"c12798"</definedName>
    <definedName name="IQ_MBS_PASS_THROUGH_OTHER_FFIEC" hidden="1">"c12784"</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DEBT_UNDER_CAPITAL_LEASES_FFIEC" hidden="1">"c15276"</definedName>
    <definedName name="IQ_MORTGAGE_SERV_RIGHTS" hidden="1">"c2242"</definedName>
    <definedName name="IQ_MORTGAGE_SERVICING_ASSETS_FFIEC" hidden="1">"c12838"</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NICIPAL_INVEST_SECURITIES_FFIEC" hidden="1">"c13459"</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BOOKING_LOCATION_ADJUSTMENT_FOREIGN_FFIEC" hidden="1">"c15385"</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"c1394"</definedName>
    <definedName name="IQ_NET_INC_BEFORE" hidden="1">"c1368"</definedName>
    <definedName name="IQ_NET_INC_CF" hidden="1">"c1397"</definedName>
    <definedName name="IQ_NET_INC_MARGIN" hidden="1">"c1398"</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TOTAL_DEPOSITS" hidden="1">"c779"</definedName>
    <definedName name="IQ_NET_NONINTEREST_INC_EXP_INTERNATIONAL_OPS_FFIEC" hidden="1">"c15387"</definedName>
    <definedName name="IQ_NET_RENTAL_EXP_FN" hidden="1">"c780"</definedName>
    <definedName name="IQ_NET_SECURITIZATION_INC_FOREIGN_FFIEC" hidden="1">"c15379"</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EARNINGS_DATE" hidden="1">"c13592"</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FFIEC" hidden="1">"c13034"</definedName>
    <definedName name="IQ_NI_MARGIN" hidden="1">"c794"</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_CIQ" hidden="1">"c5012"</definedName>
    <definedName name="IQ_NI_SBC_GW_ACT_OR_EST_CIQ" hidden="1">"c5016"</definedName>
    <definedName name="IQ_NI_SFAS" hidden="1">"c795"</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FFIEC" hidden="1">"c13017"</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DAYS" hidden="1">"c1904"</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THER_ADDITIONS_T1_FFIEC" hidden="1">"c13142"</definedName>
    <definedName name="IQ_OTHER_ADDITIONS_T2_FFIEC" hidden="1">"c13148"</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VAIL_SALE_FFIEC" hidden="1">"c12803"</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FOREIGN_FFIEC" hidden="1">"c12790"</definedName>
    <definedName name="IQ_OTHER_DEBT_SECURITIES_QUARTERLY_AVG_FFIEC" hidden="1">"c15473"</definedName>
    <definedName name="IQ_OTHER_DEDUCTIONS_LEVERAGE_RATIO_FFIEC" hidden="1">"c13158"</definedName>
    <definedName name="IQ_OTHER_DEP" hidden="1">"c885"</definedName>
    <definedName name="IQ_OTHER_DEPOSITS_FFIEC" hidden="1">"c12994"</definedName>
    <definedName name="IQ_OTHER_DERIVATIVES_BENEFICIARY_FFIEC" hidden="1">"c13122"</definedName>
    <definedName name="IQ_OTHER_DERIVATIVES_GUARANTOR_FFIEC" hidden="1">"c13115"</definedName>
    <definedName name="IQ_OTHER_EARNING" hidden="1">"c1609"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L_REC_DOM_FFIEC" hidden="1">"c12914"</definedName>
    <definedName name="IQ_OTHER_LOANS_NON_ACCRUAL_FFIEC" hidden="1">"c13327"</definedName>
    <definedName name="IQ_OTHER_LOANS_RISK_BASED_FFIEC" hidden="1">"c13435"</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VAIL_SALE_FFIEC" hidden="1">"c12801"</definedName>
    <definedName name="IQ_OTHER_MBS_FFIEC" hidden="1">"c12787"</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NET" hidden="1">"c1453"</definedName>
    <definedName name="IQ_OTHER_NON_INT_ALLOCATIONS_FFIEC" hidden="1">"c13065"</definedName>
    <definedName name="IQ_OTHER_NON_INT_EXP" hidden="1">"c953"</definedName>
    <definedName name="IQ_OTHER_NON_INT_EXP_FFIEC" hidden="1">"c13027"</definedName>
    <definedName name="IQ_OTHER_NON_INT_EXP_TOTAL" hidden="1">"c954"</definedName>
    <definedName name="IQ_OTHER_NON_INT_INC" hidden="1">"c955"</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T_DUE_ALLOW_GROSS_LOANS_FFIEC" hidden="1">"c13416"</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NORMALIZED" hidden="1">"c2207"</definedName>
    <definedName name="IQ_PE_RATIO" hidden="1">"c1610"</definedName>
    <definedName name="IQ_PEG_FWD" hidden="1">"c1863"</definedName>
    <definedName name="IQ_PEG_FWD_CIQ" hidden="1">"c4045"</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"c2121"</definedName>
    <definedName name="IQ_POSTPAID_SUBS" hidden="1">"c2118"</definedName>
    <definedName name="IQ_POTENTIAL_UPSIDE" hidden="1">"c1855"</definedName>
    <definedName name="IQ_POTENTIAL_UPSIDE_CIQ" hidden="1">"c3799"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LIST" hidden="1">"c13506"</definedName>
    <definedName name="IQ_PREMISES_FIXED_ASSETS_CAP_LEASES_FFIEC" hidden="1">"c12830"</definedName>
    <definedName name="IQ_PREMIUM_INSURANCE_CREDIT_FFIEC" hidden="1">"c13070"</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SIDENT_ID" hidden="1">"c15216"</definedName>
    <definedName name="IQ_PRESIDENT_NAME" hidden="1">"c15215"</definedName>
    <definedName name="IQ_PRETAX_INC_AFTER_CAP_ALLOCATION_FOREIGN_FFIEC" hidden="1">"c15390"</definedName>
    <definedName name="IQ_PRETAX_INC_BEFORE_CAP_ALLOCATION_FOREIGN_FFIEC" hidden="1">"c15388"</definedName>
    <definedName name="IQ_PRETAX_OPERATING_INC_AVG_ASSETS_FFIEC" hidden="1">"c13365"</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BOTTOM_UP_CIQ" hidden="1">"c12023"</definedName>
    <definedName name="IQ_PRICE_TARGET_CIQ" hidden="1">"c3613"</definedName>
    <definedName name="IQ_PRICEDATE" hidden="1">"c1069"</definedName>
    <definedName name="IQ_PRICING_DATE" hidden="1">"c1613"</definedName>
    <definedName name="IQ_PRIMARY_INDUSTRY" hidden="1">"c1070"</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DIRECT_FAX" hidden="1">"c15166"</definedName>
    <definedName name="IQ_PROFESSIONAL_DIRECT_PHONE" hidden="1">"c15165"</definedName>
    <definedName name="IQ_PROFESSIONAL_EMAIL" hidden="1">"c15167"</definedName>
    <definedName name="IQ_PROFESSIONAL_ID" hidden="1">"c13755"</definedName>
    <definedName name="IQ_PROFESSIONAL_MAIN_FAX" hidden="1">"c15164"</definedName>
    <definedName name="IQ_PROFESSIONAL_MAIN_PHONE" hidden="1">"c15163"</definedName>
    <definedName name="IQ_PROFESSIONAL_OFFICE_ADDRESS" hidden="1">"c15162"</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ROVISION_LL_FFIEC" hidden="1">"c13019"</definedName>
    <definedName name="IQ_PROVISION_LOSSES_AVG_ASSETS_FFIEC" hidden="1">"c13362"</definedName>
    <definedName name="IQ_PROVISION_LOSSES_AVG_LOANS_FFIEC" hidden="1">"c13470"</definedName>
    <definedName name="IQ_PROVISION_LOSSES_NET_LOSSES_FFIEC" hidden="1">"c13471"</definedName>
    <definedName name="IQ_PTBV" hidden="1">"c1084"</definedName>
    <definedName name="IQ_PTBV_AVG" hidden="1">"c1085"</definedName>
    <definedName name="IQ_PURCHASE_TREASURY_FFIEC" hidden="1">"c12966"</definedName>
    <definedName name="IQ_PURCHASED_CREDIT_RELS_SERVICING_ASSETS_FFIEC" hidden="1">"c12839"</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ING_SECURITIES_LL_REC_FFIEC" hidden="1">"c12893"</definedName>
    <definedName name="IQ_PV_PREMIUMS_NEW_BUSINESS" hidden="1">"c9973"</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DEPR_AMORT" hidden="1">"c8750"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LOANS_1_4_GROSS_LOANS_FFIEC" hidden="1">"c13397"</definedName>
    <definedName name="IQ_RE_LOANS_DOM_QUARTERLY_AVG_FFIEC" hidden="1">"c15476"</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OVERIES_AVG_LOANS_FFIEC" hidden="1">"c13476"</definedName>
    <definedName name="IQ_RECURRING_PROFIT_ACT_OR_EST_CIQ" hidden="1">"c5045"</definedName>
    <definedName name="IQ_RECURRING_PROFIT_SHARE_ACT_OR_EST_CIQ" hidden="1">"c5046"</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REV" hidden="1">"c1101"</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EQUITY_FFIEC" hidden="1">"c13348"</definedName>
    <definedName name="IQ_RETAINED_EARNINGS_FFIEC" hidden="1">"c12878"</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NAME_AP" hidden="1">"c8911"</definedName>
    <definedName name="IQ_REV_NAME_AP_ABS" hidden="1">"c8930"</definedName>
    <definedName name="IQ_REV_STDDEV_EST" hidden="1">"c1124"</definedName>
    <definedName name="IQ_REV_STDDEV_EST_CIQ" hidden="1">"c3621"</definedName>
    <definedName name="IQ_REV_UTI" hidden="1">"c1125"</definedName>
    <definedName name="IQ_REVALUATION_GAINS_DERIVATIVE_DOM_FFIEC" hidden="1">"c12828"</definedName>
    <definedName name="IQ_REVALUATION_GAINS_DERIVATIVE_FOREIGN_FFIEC" hidden="1">"c12829"</definedName>
    <definedName name="IQ_REVENUE" hidden="1">"c1422"</definedName>
    <definedName name="IQ_REVENUE_ACT_OR_EST" hidden="1">"c2214"</definedName>
    <definedName name="IQ_REVENUE_ACT_OR_EST_CIQ" hidden="1">"c5059"</definedName>
    <definedName name="IQ_REVENUE_BEFORE_LL_FFIEC" hidden="1">"c13018"</definedName>
    <definedName name="IQ_REVENUE_EST" hidden="1">"c1126"</definedName>
    <definedName name="IQ_REVENUE_EST_BOTTOM_UP_CIQ" hidden="1">"c12025"</definedName>
    <definedName name="IQ_REVENUE_EST_CIQ" hidden="1">"c3616"</definedName>
    <definedName name="IQ_REVENUE_HIGH_EST" hidden="1">"c1127"</definedName>
    <definedName name="IQ_REVENUE_HIGH_EST_CIQ" hidden="1">"c3618"</definedName>
    <definedName name="IQ_REVENUE_LOW_EST" hidden="1">"c1128"</definedName>
    <definedName name="IQ_REVENUE_LOW_EST_CIQ" hidden="1">"c3619"</definedName>
    <definedName name="IQ_REVENUE_MEDIAN_EST" hidden="1">"c1662"</definedName>
    <definedName name="IQ_REVENUE_MEDIAN_EST_CIQ" hidden="1">"c3617"</definedName>
    <definedName name="IQ_REVENUE_NUM_EST" hidden="1">"c1129"</definedName>
    <definedName name="IQ_REVENUE_NUM_EST_CIQ" hidden="1">"c3620"</definedName>
    <definedName name="IQ_REVISION_DATE_" hidden="1">40070.4735069444</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EVOLVING_SECURED_1_–4_NON_ACCRUAL_FFIEC" hidden="1">"c15565"</definedName>
    <definedName name="IQ_RISK_ADJ_BANK_ASSETS" hidden="1">"c2670"</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MULTI_RES_LL_REC_DOM_FFIEC" hidden="1">"c12905"</definedName>
    <definedName name="IQ_SECURITIES_HELD_MATURITY_FFIEC" hidden="1">"c12777"</definedName>
    <definedName name="IQ_SECURITIES_ISSUED_US_FFIEC" hidden="1">"c12781"</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NAME" hidden="1">"c15159"</definedName>
    <definedName name="IQ_SECURITY_OWN" hidden="1">"c1153"</definedName>
    <definedName name="IQ_SECURITY_RESELL" hidden="1">"c1154"</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OPERATING_INC_FFIEC" hidden="1">"c13384"</definedName>
    <definedName name="IQ_SERVICING_FEES_FFIEC" hidden="1">"c13011"</definedName>
    <definedName name="IQ_SERVICING_FEES_OPERATING_INC_FFIEC" hidden="1">"c13389"</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FIC_ALLOWANCE" hidden="1">"c15247"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POLI_SUBD_US_NON_TRANS_ACCTS_FFIEC" hidden="1">"c15324"</definedName>
    <definedName name="IQ_STATES_POLI_SUBD_US_TRANS_ACCTS_FFIEC" hidden="1">"c15316"</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XPLORE_DRILL" hidden="1">"c13851"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URED_NOTES_INVEST_SECURITIES_FFIEC" hidden="1">"c13468"</definedName>
    <definedName name="IQ_STRUCTURING_NOTES_TIER_1_FFIEC" hidden="1">"c13344"</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PPLIES_FFIEC" hidden="1">"c13050"</definedName>
    <definedName name="IQ_SURPLUS_FFIEC" hidden="1">"c12877"</definedName>
    <definedName name="IQ_SVA" hidden="1">"c1214"</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NUM" hidden="1">"c1653"</definedName>
    <definedName name="IQ_TARGET_PRICE_NUM_CIQ" hidden="1">"c4661"</definedName>
    <definedName name="IQ_TARGET_PRICE_STDDEV" hidden="1">"c1654"</definedName>
    <definedName name="IQ_TARGET_PRICE_STDDEV_CIQ" hidden="1">"c4662"</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ELECOM_FFIEC" hidden="1">"c13057"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CIQ" hidden="1">"c4043"</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UFCF" hidden="1">"c2208"</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ISK_BASED_CAPITAL_FFIEC" hidden="1">"c13153"</definedName>
    <definedName name="IQ_TOTAL_RISK_BASED_CAPITAL_RATIO_FFIEC" hidden="1">"c13162"</definedName>
    <definedName name="IQ_TOTAL_RISK_WEIGHTED_ASSETS_FFIEC" hidden="1">"c13858"</definedName>
    <definedName name="IQ_TOTAL_ROOMS" hidden="1">"c8789"</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GISTRATION_FEES" hidden="1">"c2274"</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SECURED_COMMITMENTS_COMMERCIAL_RE_UNUSED_FFIEC" hidden="1">"c13246"</definedName>
    <definedName name="IQ_UNSECURED_DEBT" hidden="1">"c2548"</definedName>
    <definedName name="IQ_UNSECURED_DEBT_PCT" hidden="1">"c2549"</definedName>
    <definedName name="IQ_UNUSUAL_EXP" hidden="1">"c1456"</definedName>
    <definedName name="IQ_US_ADDRESS_LEASE_FIN_REC_FFIEC" hidden="1">"c13624"</definedName>
    <definedName name="IQ_US_AGENCY_OBLIG_FFIEC" hidden="1">"c12779"</definedName>
    <definedName name="IQ_US_AGENCY_OBLIG_TRADING_DOM_FFIEC" hidden="1">"c12919"</definedName>
    <definedName name="IQ_US_AGENCY_OBLIG_TRADING_FFIEC" hidden="1">"c12814"</definedName>
    <definedName name="IQ_US_AGENCY_OBLIGATIONS_AVAIL_SALE_FFIEC" hidden="1">"c12793"</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VAIL_SALE_FFIEC" hidden="1">"c12794"</definedName>
    <definedName name="IQ_US_SPONSORED_AGENCY_OBLIG_FFIEC" hidden="1">"c12780"</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V_PENSION_LIAB" hidden="1">"c1332"</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FED_FUNDS_SOLD_FFIEC" hidden="1">"c13487"</definedName>
    <definedName name="IQ_YIELD_TRADING_ASSETS_FFIEC" hidden="1">"c13488"</definedName>
    <definedName name="IQ_YTD" hidden="1">3000</definedName>
    <definedName name="IQ_Z_SCORE" hidden="1">"c1339"</definedName>
    <definedName name="l" localSheetId="7">#REF!</definedName>
    <definedName name="l" localSheetId="8">#REF!</definedName>
    <definedName name="l" localSheetId="6">#REF!</definedName>
    <definedName name="new" localSheetId="7">#REF!</definedName>
    <definedName name="new" localSheetId="8">#REF!</definedName>
    <definedName name="new" localSheetId="6">#REF!</definedName>
    <definedName name="_xlnm.Print_Area" localSheetId="4">HistoricalRatios!$A$1:$F$75</definedName>
    <definedName name="_xlnm.Recorder" localSheetId="7">#REF!</definedName>
    <definedName name="_xlnm.Recorder" localSheetId="8">#REF!</definedName>
    <definedName name="_xlnm.Recorder" localSheetId="6">#REF!</definedName>
    <definedName name="sd" hidden="1">{"TotalFS",#N/A,FALSE,"Total";"AdminTFS",#N/A,FALSE,"AdminT";"ClaimsFS",#N/A,FALSE,"Claims";#N/A,#N/A,FALSE,"CC";"EnrllmtFS",#N/A,FALSE,"Enrllmt";"FinanceFS",#N/A,FALSE,"Finance";"MedclFS",#N/A,FALSE,"Medcl";"NDFS",#N/A,FALSE,"ND";"PRFS",#N/A,FALSE,"PR";"SalesTBAFS",#N/A,FALSE,"SalesTBA";"InvRelFS",#N/A,FALSE,"InvRel";"EventsFS",#N/A,FALSE,"Events";"TelmktFS",#N/A,FALSE,"Telmkt";"ADVFS",#N/A,FALSE,"ADV";"UndrwtgFS",#N/A,FALSE,"Undrwtg";"OrlandoFS",#N/A,FALSE,"Orlando";"LaklndFS",#N/A,FALSE,"Laklnd";"FtMyersFS",#N/A,FALSE,"FtMyers";"MiamiFS",#N/A,FALSE,"Miami"}</definedName>
    <definedName name="wrn.Financial._.Statement." hidden="1">{"TotalFS",#N/A,FALSE,"Total";"AdminTFS",#N/A,FALSE,"AdminT";"ClaimsFS",#N/A,FALSE,"Claims";#N/A,#N/A,FALSE,"CC";"EnrllmtFS",#N/A,FALSE,"Enrllmt";"FinanceFS",#N/A,FALSE,"Finance";"MedclFS",#N/A,FALSE,"Medcl";"NDFS",#N/A,FALSE,"ND";"PRFS",#N/A,FALSE,"PR";"SalesTBAFS",#N/A,FALSE,"SalesTBA";"InvRelFS",#N/A,FALSE,"InvRel";"EventsFS",#N/A,FALSE,"Events";"TelmktFS",#N/A,FALSE,"Telmkt";"ADVFS",#N/A,FALSE,"ADV";"UndrwtgFS",#N/A,FALSE,"Undrwtg";"OrlandoFS",#N/A,FALSE,"Orlando";"LaklndFS",#N/A,FALSE,"Laklnd";"FtMyersFS",#N/A,FALSE,"FtMyers";"MiamiFS",#N/A,FALSE,"Miami"}</definedName>
    <definedName name="wrn.Worksheet." hidden="1">{"TotalWS",#N/A,FALSE,"Total";"AdminTWS",#N/A,FALSE,"AdminT";"ClaimsWS",#N/A,FALSE,"Claims";"CCWS",#N/A,FALSE,"CC";"EnrllmtWS",#N/A,FALSE,"Enrllmt";"FinanceWS",#N/A,FALSE,"Finance";"MedclWS",#N/A,FALSE,"Medcl";"ISWS",#N/A,FALSE,"IS";"SalesTBAWS",#N/A,FALSE,"SalesTBA";"InvRelWS",#N/A,FALSE,"InvRel";"TelmktWS",#N/A,FALSE,"Telmkt";"ADVWS",#N/A,FALSE,"ADV";"UndrwtgWS",#N/A,FALSE,"Undrwtg";"OrlandoWS",#N/A,FALSE,"Orlando";"LaklndWS",#N/A,FALSE,"Laklnd";"FtMyersWS",#N/A,FALSE,"FtMyers";"MiamiWS",#N/A,FALSE,"Miami"}</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E66" i="22" l="1"/>
  <c r="F66" i="22"/>
  <c r="F63" i="22" l="1"/>
  <c r="E63" i="22"/>
  <c r="F62" i="22" a="1"/>
  <c r="F62" i="22" s="1"/>
  <c r="E62" i="22" a="1"/>
  <c r="E62" i="22" s="1"/>
  <c r="F41" i="22" l="1"/>
  <c r="E41" i="22"/>
  <c r="F61" i="22"/>
  <c r="E61" i="22"/>
  <c r="F64" i="22"/>
  <c r="F43" i="22"/>
  <c r="F44" i="22"/>
  <c r="F15" i="22"/>
  <c r="E15" i="22"/>
  <c r="D61" i="22"/>
  <c r="E64" i="22"/>
  <c r="E43" i="22"/>
  <c r="E44" i="22"/>
  <c r="D15" i="22"/>
  <c r="D1" i="22"/>
  <c r="E1" i="22"/>
  <c r="F1" i="22"/>
  <c r="E50" i="22"/>
  <c r="F50" i="22"/>
  <c r="D50" i="22"/>
  <c r="F60" i="22"/>
  <c r="F14" i="8"/>
  <c r="F15" i="8"/>
  <c r="F16" i="8"/>
  <c r="F17" i="8"/>
  <c r="F18" i="8"/>
  <c r="F19" i="8"/>
  <c r="F20" i="8"/>
  <c r="F23" i="8"/>
  <c r="F25" i="8"/>
  <c r="F26" i="8"/>
  <c r="F27" i="8"/>
  <c r="E56" i="10"/>
  <c r="F56" i="10"/>
  <c r="F32" i="2"/>
  <c r="E32" i="2"/>
  <c r="F30" i="8"/>
  <c r="F32" i="8"/>
  <c r="E14" i="8"/>
  <c r="E15" i="8"/>
  <c r="E16" i="8"/>
  <c r="E17" i="8"/>
  <c r="E18" i="8"/>
  <c r="E19" i="8"/>
  <c r="E20" i="8"/>
  <c r="E23" i="8"/>
  <c r="E25" i="8"/>
  <c r="E26" i="8"/>
  <c r="E27" i="8"/>
  <c r="E30" i="8"/>
  <c r="E32" i="8"/>
  <c r="E35" i="8"/>
  <c r="E36" i="8"/>
  <c r="F35" i="8"/>
  <c r="F36" i="8"/>
  <c r="F9" i="2"/>
  <c r="F7" i="21"/>
  <c r="F8" i="21"/>
  <c r="F9" i="21"/>
  <c r="F10" i="21"/>
  <c r="F11" i="21"/>
  <c r="F13" i="21"/>
  <c r="F14" i="21"/>
  <c r="F15" i="21"/>
  <c r="F17" i="21"/>
  <c r="F18" i="21"/>
  <c r="F30" i="21"/>
  <c r="H24" i="20"/>
  <c r="I24" i="20"/>
  <c r="H25" i="20"/>
  <c r="I25" i="20"/>
  <c r="H26" i="20"/>
  <c r="I26" i="20"/>
  <c r="H27" i="20"/>
  <c r="I27" i="20"/>
  <c r="H28" i="20"/>
  <c r="I28" i="20"/>
  <c r="H29" i="20"/>
  <c r="I29" i="20"/>
  <c r="H30" i="20"/>
  <c r="I30" i="20"/>
  <c r="H31" i="20"/>
  <c r="I31" i="20"/>
  <c r="H32" i="20"/>
  <c r="I32" i="20"/>
  <c r="H33" i="20"/>
  <c r="I33" i="20"/>
  <c r="H34" i="20"/>
  <c r="I34" i="20"/>
  <c r="H35" i="20"/>
  <c r="I35" i="20"/>
  <c r="H36" i="20"/>
  <c r="I36" i="20"/>
  <c r="G24" i="20"/>
  <c r="G25" i="20"/>
  <c r="G26" i="20"/>
  <c r="G27" i="20"/>
  <c r="G28" i="20"/>
  <c r="G29" i="20"/>
  <c r="G30" i="20"/>
  <c r="G31" i="20"/>
  <c r="G32" i="20"/>
  <c r="G33" i="20"/>
  <c r="G34" i="20"/>
  <c r="G35" i="20"/>
  <c r="G36" i="20"/>
  <c r="A3" i="21"/>
  <c r="A21" i="20"/>
  <c r="A3" i="19"/>
  <c r="A23" i="16"/>
  <c r="B32" i="9"/>
  <c r="G5" i="19"/>
  <c r="H5" i="19"/>
  <c r="I5" i="21"/>
  <c r="G5" i="21"/>
  <c r="H19" i="19"/>
  <c r="G20" i="16"/>
  <c r="F31" i="2"/>
  <c r="F26" i="9"/>
  <c r="B26" i="9"/>
  <c r="G31" i="17"/>
  <c r="F31" i="17"/>
  <c r="G26" i="18"/>
  <c r="F19" i="2"/>
  <c r="F21" i="9"/>
  <c r="B21" i="9"/>
  <c r="G19" i="17"/>
  <c r="F19" i="17"/>
  <c r="G25" i="18"/>
  <c r="F15" i="2"/>
  <c r="F8" i="1"/>
  <c r="G8" i="16"/>
  <c r="E15" i="2"/>
  <c r="F19" i="9"/>
  <c r="B19" i="9"/>
  <c r="G15" i="17"/>
  <c r="F15" i="17"/>
  <c r="G23" i="18"/>
  <c r="F9" i="1"/>
  <c r="F10" i="1"/>
  <c r="F8" i="9"/>
  <c r="B8" i="9"/>
  <c r="G9" i="16"/>
  <c r="G10" i="16"/>
  <c r="G11" i="16"/>
  <c r="F13" i="1"/>
  <c r="F10" i="9"/>
  <c r="B10" i="9"/>
  <c r="G13" i="16"/>
  <c r="G14" i="16"/>
  <c r="F25" i="2"/>
  <c r="F23" i="9"/>
  <c r="B23" i="9"/>
  <c r="G25" i="17"/>
  <c r="D15" i="2"/>
  <c r="G15" i="2"/>
  <c r="H15" i="2"/>
  <c r="G32" i="17"/>
  <c r="G15" i="16"/>
  <c r="G16" i="16"/>
  <c r="G17" i="16"/>
  <c r="F27" i="2"/>
  <c r="F17" i="1"/>
  <c r="F25" i="9"/>
  <c r="B25" i="9"/>
  <c r="G27" i="17"/>
  <c r="F27" i="17"/>
  <c r="G19" i="18"/>
  <c r="F11" i="1"/>
  <c r="E26" i="2"/>
  <c r="F26" i="2"/>
  <c r="F24" i="9"/>
  <c r="B24" i="9" s="1"/>
  <c r="G26" i="17" s="1"/>
  <c r="F26" i="17"/>
  <c r="E24" i="2"/>
  <c r="F24" i="2"/>
  <c r="F22" i="9"/>
  <c r="B22" i="9" s="1"/>
  <c r="G24" i="17" s="1"/>
  <c r="F24" i="17"/>
  <c r="F12" i="2"/>
  <c r="F18" i="9"/>
  <c r="B18" i="9"/>
  <c r="G12" i="17"/>
  <c r="F12" i="17"/>
  <c r="G16" i="18"/>
  <c r="F11" i="2"/>
  <c r="E11" i="2"/>
  <c r="F17" i="9"/>
  <c r="B17" i="9"/>
  <c r="G11" i="17"/>
  <c r="F11" i="17"/>
  <c r="G15" i="18"/>
  <c r="F10" i="2"/>
  <c r="E10" i="2"/>
  <c r="F16" i="9"/>
  <c r="B16" i="9"/>
  <c r="G10" i="17"/>
  <c r="F10" i="17"/>
  <c r="G14" i="18"/>
  <c r="G7" i="18"/>
  <c r="G18" i="16"/>
  <c r="G9" i="18"/>
  <c r="G12" i="18"/>
  <c r="G27" i="18"/>
  <c r="F25" i="17"/>
  <c r="I25" i="17"/>
  <c r="F32" i="17"/>
  <c r="I32" i="17"/>
  <c r="G30" i="18"/>
  <c r="D20" i="1"/>
  <c r="E20" i="1"/>
  <c r="F20" i="1"/>
  <c r="F28" i="9"/>
  <c r="B28" i="9"/>
  <c r="G31" i="18"/>
  <c r="G32" i="18"/>
  <c r="F14" i="1"/>
  <c r="F15" i="1"/>
  <c r="F16" i="1"/>
  <c r="F18" i="1"/>
  <c r="F9" i="18"/>
  <c r="F12" i="18"/>
  <c r="F14" i="18"/>
  <c r="F15" i="18"/>
  <c r="E12" i="2"/>
  <c r="F16" i="18"/>
  <c r="F17" i="18"/>
  <c r="F18" i="18"/>
  <c r="E27" i="2"/>
  <c r="F19" i="18"/>
  <c r="F20" i="18"/>
  <c r="F23" i="18"/>
  <c r="E19" i="2"/>
  <c r="F25" i="18"/>
  <c r="E31" i="2"/>
  <c r="F26" i="18"/>
  <c r="F27" i="18"/>
  <c r="E25" i="2"/>
  <c r="F30" i="18"/>
  <c r="F31" i="18"/>
  <c r="F32" i="18"/>
  <c r="E8" i="1"/>
  <c r="E9" i="1"/>
  <c r="E10" i="1"/>
  <c r="E11" i="1"/>
  <c r="E13" i="1"/>
  <c r="E14" i="1"/>
  <c r="E15" i="1"/>
  <c r="E16" i="1"/>
  <c r="E17" i="1"/>
  <c r="E18" i="1"/>
  <c r="E9" i="8"/>
  <c r="E12" i="8"/>
  <c r="D10" i="2"/>
  <c r="D11" i="2"/>
  <c r="D12" i="2"/>
  <c r="D24" i="2"/>
  <c r="D26" i="2"/>
  <c r="D27" i="2"/>
  <c r="D19" i="2"/>
  <c r="D31" i="2"/>
  <c r="D25" i="2"/>
  <c r="D32" i="2"/>
  <c r="E31" i="8"/>
  <c r="D9" i="2"/>
  <c r="F35" i="18"/>
  <c r="F36" i="18"/>
  <c r="G35" i="18"/>
  <c r="D16" i="2"/>
  <c r="E16" i="2"/>
  <c r="F16" i="2"/>
  <c r="F16" i="17"/>
  <c r="G16" i="17"/>
  <c r="G17" i="17"/>
  <c r="F9" i="8"/>
  <c r="F12" i="8"/>
  <c r="F31" i="8"/>
  <c r="F9" i="17"/>
  <c r="F13" i="17"/>
  <c r="F17" i="17"/>
  <c r="F20" i="17"/>
  <c r="D36" i="2"/>
  <c r="E36" i="2"/>
  <c r="F36" i="2"/>
  <c r="F36" i="17"/>
  <c r="G36" i="17"/>
  <c r="D37" i="2"/>
  <c r="E37" i="2"/>
  <c r="F37" i="2"/>
  <c r="F37" i="17"/>
  <c r="G37" i="17"/>
  <c r="D38" i="2"/>
  <c r="E38" i="2"/>
  <c r="F38" i="2"/>
  <c r="F38" i="17"/>
  <c r="G38" i="17"/>
  <c r="G39" i="17"/>
  <c r="F28" i="17"/>
  <c r="F34" i="17"/>
  <c r="F39" i="17"/>
  <c r="F41" i="17"/>
  <c r="E74" i="22"/>
  <c r="F74" i="22"/>
  <c r="F65" i="22"/>
  <c r="E65" i="22"/>
  <c r="F39" i="2"/>
  <c r="E39" i="2"/>
  <c r="D39" i="2"/>
  <c r="E12" i="9"/>
  <c r="E60" i="22"/>
  <c r="D8" i="1"/>
  <c r="D9" i="1"/>
  <c r="D10" i="1"/>
  <c r="D11" i="1"/>
  <c r="D13" i="1"/>
  <c r="D14" i="1"/>
  <c r="D17" i="1"/>
  <c r="D15" i="1"/>
  <c r="D16" i="1"/>
  <c r="D60" i="22"/>
  <c r="E26" i="9"/>
  <c r="E27" i="9"/>
  <c r="E28" i="9"/>
  <c r="E23" i="9"/>
  <c r="E21" i="9"/>
  <c r="E18" i="9"/>
  <c r="F27" i="9"/>
  <c r="F68" i="22"/>
  <c r="D73" i="22"/>
  <c r="E73" i="22"/>
  <c r="F73" i="22"/>
  <c r="D72" i="22"/>
  <c r="E72" i="22"/>
  <c r="F72" i="22"/>
  <c r="E9" i="2"/>
  <c r="E13" i="2"/>
  <c r="E17" i="2"/>
  <c r="E20" i="2"/>
  <c r="E28" i="2"/>
  <c r="E33" i="2"/>
  <c r="E34" i="2"/>
  <c r="E71" i="22"/>
  <c r="F13" i="2"/>
  <c r="F17" i="2"/>
  <c r="F20" i="2"/>
  <c r="F28" i="2"/>
  <c r="F33" i="2"/>
  <c r="F34" i="2"/>
  <c r="F71" i="22"/>
  <c r="D13" i="2"/>
  <c r="D17" i="2"/>
  <c r="D20" i="2"/>
  <c r="D28" i="2"/>
  <c r="D33" i="2"/>
  <c r="D34" i="2"/>
  <c r="D71" i="22"/>
  <c r="F21" i="1"/>
  <c r="F70" i="22"/>
  <c r="E21" i="1"/>
  <c r="E70" i="22"/>
  <c r="F69" i="22"/>
  <c r="E69" i="22"/>
  <c r="E68" i="22"/>
  <c r="E19" i="9"/>
  <c r="F56" i="22"/>
  <c r="E56" i="22"/>
  <c r="F55" i="22"/>
  <c r="E55" i="22"/>
  <c r="F54" i="22"/>
  <c r="E54" i="22"/>
  <c r="F53" i="22"/>
  <c r="E53" i="22"/>
  <c r="F42" i="22"/>
  <c r="E42" i="22"/>
  <c r="F38" i="22"/>
  <c r="E38" i="22"/>
  <c r="F40" i="22"/>
  <c r="E40" i="22"/>
  <c r="F37" i="22"/>
  <c r="E37" i="22"/>
  <c r="F36" i="22"/>
  <c r="E36" i="22"/>
  <c r="E30" i="22"/>
  <c r="F30" i="22"/>
  <c r="F35" i="22"/>
  <c r="E35" i="22"/>
  <c r="F34" i="22"/>
  <c r="E34" i="22"/>
  <c r="F31" i="22"/>
  <c r="E31" i="22"/>
  <c r="F33" i="22"/>
  <c r="E33" i="22"/>
  <c r="E22" i="22"/>
  <c r="I6" i="17"/>
  <c r="G7" i="17"/>
  <c r="E24" i="9"/>
  <c r="G7" i="16"/>
  <c r="F40" i="18"/>
  <c r="F37" i="18"/>
  <c r="F38" i="18"/>
  <c r="I10" i="17"/>
  <c r="I11" i="17"/>
  <c r="I12" i="17"/>
  <c r="I27" i="17"/>
  <c r="I15" i="17"/>
  <c r="I19" i="17"/>
  <c r="I31" i="17"/>
  <c r="G33" i="2"/>
  <c r="H33" i="2"/>
  <c r="E41" i="2"/>
  <c r="D41" i="2"/>
  <c r="G41" i="2"/>
  <c r="G39" i="2"/>
  <c r="G38" i="2"/>
  <c r="G37" i="2"/>
  <c r="G36" i="2"/>
  <c r="G34" i="2"/>
  <c r="G32" i="2"/>
  <c r="G31" i="2"/>
  <c r="G28" i="2"/>
  <c r="G27" i="2"/>
  <c r="G26" i="2"/>
  <c r="G25" i="2"/>
  <c r="G24" i="2"/>
  <c r="G20" i="2"/>
  <c r="G19" i="2"/>
  <c r="G17" i="2"/>
  <c r="G16" i="2"/>
  <c r="G13" i="2"/>
  <c r="G12" i="2"/>
  <c r="G11" i="2"/>
  <c r="G10" i="2"/>
  <c r="G9" i="2"/>
  <c r="F41" i="2"/>
  <c r="H41" i="2"/>
  <c r="H39" i="2"/>
  <c r="H38" i="2"/>
  <c r="H37" i="2"/>
  <c r="H36" i="2"/>
  <c r="H34" i="2"/>
  <c r="H32" i="2"/>
  <c r="H31" i="2"/>
  <c r="H28" i="2"/>
  <c r="H27" i="2"/>
  <c r="H26" i="2"/>
  <c r="H25" i="2"/>
  <c r="H24" i="2"/>
  <c r="H20" i="2"/>
  <c r="H19" i="2"/>
  <c r="H17" i="2"/>
  <c r="H16" i="2"/>
  <c r="H13" i="2"/>
  <c r="H12" i="2"/>
  <c r="H11" i="2"/>
  <c r="H10" i="2"/>
  <c r="H9" i="2"/>
  <c r="G33" i="17"/>
  <c r="F33" i="17"/>
  <c r="J33" i="17"/>
  <c r="I33" i="17"/>
  <c r="I39" i="17"/>
  <c r="I38" i="17"/>
  <c r="I37" i="17"/>
  <c r="I36" i="17"/>
  <c r="I17" i="17"/>
  <c r="I16" i="17"/>
  <c r="E40" i="16"/>
  <c r="E39" i="16"/>
  <c r="E38" i="16"/>
  <c r="E37" i="16"/>
  <c r="E36" i="16"/>
  <c r="E35" i="16"/>
  <c r="E34" i="16"/>
  <c r="E33" i="16"/>
  <c r="E32" i="16"/>
  <c r="E31" i="16"/>
  <c r="E30" i="16"/>
  <c r="E29" i="16"/>
  <c r="E28" i="16"/>
  <c r="F12" i="9"/>
  <c r="F11" i="9"/>
  <c r="F9" i="9"/>
  <c r="F7" i="9"/>
  <c r="F47" i="1"/>
  <c r="F48" i="1"/>
  <c r="F49" i="1"/>
  <c r="F50" i="1"/>
  <c r="F12" i="1"/>
  <c r="E12" i="1"/>
  <c r="F51" i="1"/>
  <c r="F52" i="1"/>
  <c r="F53" i="1"/>
  <c r="F54" i="1"/>
  <c r="F55" i="1"/>
  <c r="F56" i="1"/>
  <c r="F57" i="1"/>
  <c r="F58" i="1"/>
  <c r="F59" i="1"/>
  <c r="E59" i="1"/>
  <c r="D18" i="1"/>
  <c r="D21" i="1"/>
  <c r="E58" i="1"/>
  <c r="E57" i="1"/>
  <c r="E56" i="1"/>
  <c r="E55" i="1"/>
  <c r="E54" i="1"/>
  <c r="E53" i="1"/>
  <c r="E52" i="1"/>
  <c r="D12" i="1"/>
  <c r="E51" i="1"/>
  <c r="E50" i="1"/>
  <c r="E49" i="1"/>
  <c r="E48" i="1"/>
  <c r="E47" i="1"/>
  <c r="E25" i="9"/>
  <c r="D25" i="9"/>
  <c r="E22" i="9"/>
  <c r="E17" i="9"/>
  <c r="E16" i="9"/>
  <c r="D12" i="9"/>
  <c r="E11" i="9"/>
  <c r="E10" i="9"/>
  <c r="E9" i="9"/>
  <c r="D9" i="9"/>
  <c r="E8" i="9"/>
  <c r="D8" i="9"/>
  <c r="E7" i="9"/>
  <c r="A30" i="1"/>
  <c r="A31" i="1"/>
  <c r="A32" i="1"/>
  <c r="A33" i="1"/>
  <c r="A34" i="1"/>
  <c r="A35" i="1"/>
  <c r="A36" i="1"/>
  <c r="A37" i="1"/>
  <c r="A38" i="1"/>
  <c r="A39" i="1"/>
  <c r="A29" i="1"/>
  <c r="H5" i="21"/>
  <c r="H7" i="19"/>
  <c r="H8" i="19"/>
  <c r="H9" i="19"/>
  <c r="H10" i="19"/>
  <c r="H12" i="19"/>
  <c r="H13" i="19"/>
  <c r="H14" i="19"/>
  <c r="H15" i="19"/>
  <c r="H16" i="19"/>
  <c r="H17" i="19"/>
  <c r="H18" i="19"/>
  <c r="F9" i="19"/>
  <c r="F10" i="19"/>
  <c r="F12" i="19"/>
  <c r="F13" i="19"/>
  <c r="F14" i="19"/>
  <c r="F15" i="19"/>
  <c r="F16" i="19"/>
  <c r="F17" i="19"/>
  <c r="F19" i="19"/>
  <c r="F18" i="19"/>
  <c r="G18" i="19"/>
  <c r="I18" i="19"/>
  <c r="D75" i="22"/>
  <c r="E75" i="22"/>
  <c r="F75" i="22"/>
  <c r="D59" i="22"/>
  <c r="E59" i="22"/>
  <c r="F59" i="22"/>
  <c r="E58" i="22"/>
  <c r="F58" i="22"/>
  <c r="E52" i="22"/>
  <c r="E57" i="22"/>
  <c r="D52" i="22"/>
  <c r="F52" i="22"/>
  <c r="F57" i="22"/>
  <c r="D51" i="22"/>
  <c r="E51" i="22"/>
  <c r="F51" i="22"/>
  <c r="D49" i="22"/>
  <c r="E49" i="22"/>
  <c r="F49" i="22"/>
  <c r="D48" i="22"/>
  <c r="E48" i="22"/>
  <c r="F48" i="22"/>
  <c r="D47" i="22"/>
  <c r="E47" i="22"/>
  <c r="F47" i="22"/>
  <c r="E45" i="22"/>
  <c r="F45" i="22"/>
  <c r="F7" i="2"/>
  <c r="E7" i="2"/>
  <c r="D7" i="2"/>
  <c r="F9" i="22"/>
  <c r="E9" i="22"/>
  <c r="D9" i="22"/>
  <c r="F10" i="22"/>
  <c r="E10" i="22"/>
  <c r="D10" i="22"/>
  <c r="F11" i="22"/>
  <c r="E11" i="22"/>
  <c r="D11" i="22"/>
  <c r="F12" i="22"/>
  <c r="E12" i="22"/>
  <c r="D12" i="22"/>
  <c r="F14" i="22"/>
  <c r="E14" i="22"/>
  <c r="D14" i="22"/>
  <c r="F16" i="22"/>
  <c r="E16" i="22"/>
  <c r="D16" i="22"/>
  <c r="F17" i="22"/>
  <c r="E17" i="22"/>
  <c r="D17" i="22"/>
  <c r="F18" i="22"/>
  <c r="E18" i="22"/>
  <c r="D18" i="22"/>
  <c r="F19" i="22"/>
  <c r="E19" i="22"/>
  <c r="D19" i="22"/>
  <c r="F22" i="22"/>
  <c r="F20" i="22"/>
  <c r="E20" i="22"/>
  <c r="F21" i="22"/>
  <c r="E21" i="22"/>
  <c r="F23" i="22"/>
  <c r="E23" i="22"/>
  <c r="F24" i="22"/>
  <c r="F25" i="22"/>
  <c r="E25" i="22"/>
  <c r="F27" i="22"/>
  <c r="E27" i="22"/>
  <c r="D27" i="22"/>
  <c r="F28" i="22"/>
  <c r="E28" i="22"/>
  <c r="D28" i="22"/>
  <c r="F32" i="22"/>
  <c r="E32" i="22"/>
  <c r="E26" i="22"/>
  <c r="F26" i="22"/>
  <c r="E24" i="22"/>
  <c r="F39" i="22"/>
  <c r="E39" i="22"/>
  <c r="I40" i="21"/>
  <c r="F5" i="21"/>
  <c r="H40" i="21"/>
  <c r="G40" i="21"/>
  <c r="I5" i="19"/>
  <c r="I22" i="19"/>
  <c r="H22" i="19"/>
  <c r="G22" i="19"/>
  <c r="F5" i="19"/>
  <c r="F22" i="19"/>
  <c r="I23" i="19"/>
  <c r="H23" i="19"/>
  <c r="G23" i="19"/>
  <c r="I23" i="20"/>
  <c r="H23" i="20"/>
  <c r="G23" i="20"/>
  <c r="F19" i="20"/>
  <c r="F18" i="20"/>
  <c r="F35" i="20"/>
  <c r="F14" i="20"/>
  <c r="F10" i="20"/>
  <c r="F7" i="20"/>
  <c r="F24" i="20"/>
  <c r="F36" i="20"/>
  <c r="F16" i="20"/>
  <c r="F12" i="20"/>
  <c r="F9" i="20"/>
  <c r="F8" i="20"/>
  <c r="I5" i="20"/>
  <c r="G5" i="20"/>
  <c r="F5" i="20"/>
  <c r="G36" i="19"/>
  <c r="F35" i="19"/>
  <c r="I33" i="19"/>
  <c r="I31" i="19"/>
  <c r="I29" i="19"/>
  <c r="I27" i="19"/>
  <c r="I26" i="19"/>
  <c r="F8" i="19"/>
  <c r="F25" i="19"/>
  <c r="F7" i="19"/>
  <c r="I24" i="19"/>
  <c r="F33" i="20"/>
  <c r="F25" i="20"/>
  <c r="F27" i="20"/>
  <c r="F29" i="20"/>
  <c r="F31" i="20"/>
  <c r="F11" i="20"/>
  <c r="F13" i="20"/>
  <c r="F26" i="20"/>
  <c r="I35" i="19"/>
  <c r="H25" i="19"/>
  <c r="G35" i="19"/>
  <c r="H36" i="19"/>
  <c r="F27" i="19"/>
  <c r="I36" i="19"/>
  <c r="G27" i="19"/>
  <c r="G26" i="19"/>
  <c r="F26" i="19"/>
  <c r="F29" i="19"/>
  <c r="G33" i="19"/>
  <c r="F31" i="19"/>
  <c r="F33" i="19"/>
  <c r="G31" i="19"/>
  <c r="G25" i="19"/>
  <c r="I25" i="19"/>
  <c r="F24" i="19"/>
  <c r="F36" i="19"/>
  <c r="G29" i="19"/>
  <c r="G24" i="19"/>
  <c r="H24" i="19"/>
  <c r="H27" i="19"/>
  <c r="F11" i="19"/>
  <c r="F30" i="20"/>
  <c r="F15" i="20"/>
  <c r="F28" i="20"/>
  <c r="H11" i="19"/>
  <c r="H28" i="19"/>
  <c r="H26" i="19"/>
  <c r="F30" i="19"/>
  <c r="G30" i="19"/>
  <c r="I30" i="19"/>
  <c r="G28" i="19"/>
  <c r="F28" i="19"/>
  <c r="I28" i="19"/>
  <c r="F17" i="20"/>
  <c r="G32" i="19"/>
  <c r="I32" i="19"/>
  <c r="F66" i="10"/>
  <c r="E66" i="10"/>
  <c r="F34" i="10"/>
  <c r="E34" i="10"/>
  <c r="D34" i="10"/>
  <c r="F7" i="18"/>
  <c r="G37" i="18"/>
  <c r="F7" i="17"/>
  <c r="F7" i="16"/>
  <c r="F34" i="20"/>
  <c r="F34" i="19"/>
  <c r="I34" i="19"/>
  <c r="G34" i="19"/>
  <c r="E7" i="8"/>
  <c r="F7" i="8"/>
  <c r="G7" i="2"/>
  <c r="H7" i="2"/>
  <c r="F7" i="1"/>
  <c r="E7" i="1"/>
  <c r="D7" i="1"/>
  <c r="F34" i="21"/>
  <c r="F7" i="10"/>
  <c r="E7" i="10"/>
  <c r="F28" i="21"/>
  <c r="D7" i="10"/>
  <c r="F21" i="21"/>
  <c r="F22" i="21"/>
  <c r="F23" i="21"/>
  <c r="F24" i="21"/>
  <c r="F33" i="21"/>
  <c r="F13" i="16"/>
  <c r="F17" i="16"/>
  <c r="F11" i="16"/>
  <c r="F15" i="16"/>
  <c r="F9" i="16"/>
  <c r="D29" i="1"/>
  <c r="E29" i="1"/>
  <c r="F29" i="1"/>
  <c r="F8" i="16"/>
  <c r="E30" i="1"/>
  <c r="E38" i="1"/>
  <c r="F34" i="1"/>
  <c r="E32" i="1"/>
  <c r="D36" i="1"/>
  <c r="E34" i="1"/>
  <c r="D30" i="1"/>
  <c r="D38" i="1"/>
  <c r="D34" i="1"/>
  <c r="E36" i="1"/>
  <c r="D32" i="1"/>
  <c r="F36" i="1"/>
  <c r="F30" i="1"/>
  <c r="F38" i="1"/>
  <c r="F32" i="1"/>
  <c r="F33" i="9"/>
  <c r="B33" i="9"/>
  <c r="F32" i="9"/>
  <c r="B27" i="9"/>
  <c r="J12" i="17"/>
  <c r="F37" i="8"/>
  <c r="E37" i="8"/>
  <c r="F33" i="16"/>
  <c r="J31" i="17"/>
  <c r="H29" i="19"/>
  <c r="J37" i="17"/>
  <c r="F25" i="21"/>
  <c r="J15" i="17"/>
  <c r="J19" i="17"/>
  <c r="I7" i="10"/>
  <c r="I1" i="9"/>
  <c r="F28" i="16"/>
  <c r="F20" i="16"/>
  <c r="J36" i="17"/>
  <c r="J17" i="17"/>
  <c r="H30" i="19"/>
  <c r="F40" i="16"/>
  <c r="J25" i="17"/>
  <c r="J10" i="17"/>
  <c r="D43" i="2"/>
  <c r="D8" i="10"/>
  <c r="F31" i="16"/>
  <c r="J16" i="17"/>
  <c r="F29" i="21"/>
  <c r="F31" i="21"/>
  <c r="F10" i="16"/>
  <c r="E31" i="1"/>
  <c r="D31" i="1"/>
  <c r="F31" i="1"/>
  <c r="F35" i="16"/>
  <c r="H31" i="19"/>
  <c r="F33" i="1"/>
  <c r="D33" i="1"/>
  <c r="E33" i="1"/>
  <c r="D35" i="1"/>
  <c r="E35" i="1"/>
  <c r="F35" i="1"/>
  <c r="F30" i="16"/>
  <c r="F29" i="16"/>
  <c r="J32" i="17"/>
  <c r="F12" i="16"/>
  <c r="F14" i="16"/>
  <c r="F16" i="16"/>
  <c r="H32" i="19"/>
  <c r="H33" i="19"/>
  <c r="J11" i="17"/>
  <c r="G12" i="16"/>
  <c r="F32" i="16"/>
  <c r="F18" i="16"/>
  <c r="D37" i="1"/>
  <c r="D39" i="1"/>
  <c r="F37" i="1"/>
  <c r="E37" i="1"/>
  <c r="H35" i="19"/>
  <c r="H34" i="19"/>
  <c r="F34" i="16"/>
  <c r="F36" i="16"/>
  <c r="F39" i="1"/>
  <c r="E39" i="1"/>
  <c r="F35" i="21"/>
  <c r="F36" i="21"/>
  <c r="F38" i="21"/>
  <c r="E10" i="10"/>
  <c r="F19" i="16"/>
  <c r="F37" i="16"/>
  <c r="F10" i="10"/>
  <c r="G19" i="16"/>
  <c r="F39" i="16"/>
  <c r="J27" i="17"/>
  <c r="F38" i="16"/>
  <c r="J38" i="17"/>
  <c r="J39" i="17"/>
  <c r="I4" i="9"/>
  <c r="I10" i="10"/>
  <c r="E38" i="8"/>
  <c r="E40" i="8"/>
  <c r="E41" i="8"/>
  <c r="E9" i="10"/>
  <c r="F38" i="8"/>
  <c r="E43" i="2"/>
  <c r="E8" i="10"/>
  <c r="F40" i="8"/>
  <c r="F41" i="8"/>
  <c r="F9" i="10"/>
  <c r="F43" i="17"/>
  <c r="F40" i="21"/>
  <c r="F43" i="2"/>
  <c r="F8" i="10"/>
  <c r="F41" i="18"/>
  <c r="I26" i="17" l="1"/>
  <c r="J26" i="17"/>
  <c r="G18" i="18"/>
  <c r="G28" i="17"/>
  <c r="G17" i="18"/>
  <c r="J24" i="17"/>
  <c r="I24" i="17"/>
  <c r="G20" i="18" l="1"/>
  <c r="G36" i="18" s="1"/>
  <c r="G9" i="17" s="1"/>
  <c r="G34" i="17"/>
  <c r="J28" i="17"/>
  <c r="I28" i="17"/>
  <c r="G38" i="18" l="1"/>
  <c r="G13" i="17"/>
  <c r="I9" i="17"/>
  <c r="J9" i="17"/>
  <c r="G40" i="18"/>
  <c r="G41" i="18" s="1"/>
  <c r="J34" i="17"/>
  <c r="G41" i="17"/>
  <c r="I34" i="17"/>
  <c r="I41" i="17" l="1"/>
  <c r="J41" i="17"/>
  <c r="I3" i="9"/>
  <c r="I9" i="10"/>
  <c r="J13" i="17"/>
  <c r="I13" i="17"/>
  <c r="G20" i="17"/>
  <c r="I20" i="17" l="1"/>
  <c r="I43" i="17" s="1"/>
  <c r="J20" i="17"/>
  <c r="G43" i="17"/>
  <c r="I2" i="9" l="1"/>
  <c r="I8" i="10"/>
</calcChain>
</file>

<file path=xl/comments1.xml><?xml version="1.0" encoding="utf-8"?>
<comments xmlns="http://schemas.openxmlformats.org/spreadsheetml/2006/main">
  <authors>
    <author>Craig Savarese</author>
    <author>Chad Dykoski</author>
  </authors>
  <commentList>
    <comment ref="A11" authorId="0">
      <text>
        <r>
          <rPr>
            <b/>
            <sz val="9"/>
            <color indexed="81"/>
            <rFont val="Calibri"/>
            <family val="2"/>
          </rPr>
          <t>Includes current Portion LTD</t>
        </r>
      </text>
    </comment>
    <comment ref="E25" authorId="1">
      <text>
        <r>
          <rPr>
            <b/>
            <sz val="9"/>
            <color indexed="81"/>
            <rFont val="Tahoma"/>
            <family val="2"/>
          </rPr>
          <t xml:space="preserve">Tax liability may be higher or lower in a given year than what the statutory or even effective tax rate may suggest due to temporary differences in taxes, as may be the case here. This year-on-year ratio calculation highlights the need to understand extraordinary circumstances in a given year and the need to adjust ratios to remove the effect of one-time transactions when creating projections. If the tax rate were based on this year, it would be an unrealistic assumption. Note that this ratio returns to a more normal level the next year.
</t>
        </r>
        <r>
          <rPr>
            <sz val="9"/>
            <color indexed="81"/>
            <rFont val="Tahoma"/>
            <family val="2"/>
          </rPr>
          <t xml:space="preserve">
</t>
        </r>
      </text>
    </comment>
    <comment ref="B32" authorId="1">
      <text>
        <r>
          <rPr>
            <b/>
            <sz val="9"/>
            <color indexed="81"/>
            <rFont val="Tahoma"/>
            <family val="2"/>
          </rPr>
          <t>This field is calculated based on the dividends per share times the number of dividends. To change this value, change the dividends/share.</t>
        </r>
        <r>
          <rPr>
            <sz val="9"/>
            <color indexed="81"/>
            <rFont val="Tahoma"/>
            <family val="2"/>
          </rPr>
          <t xml:space="preserve">
</t>
        </r>
      </text>
    </comment>
  </commentList>
</comments>
</file>

<file path=xl/comments2.xml><?xml version="1.0" encoding="utf-8"?>
<comments xmlns="http://schemas.openxmlformats.org/spreadsheetml/2006/main">
  <authors>
    <author>Chad Dykoski</author>
  </authors>
  <commentList>
    <comment ref="G7" authorId="0">
      <text>
        <r>
          <rPr>
            <b/>
            <sz val="9"/>
            <color indexed="81"/>
            <rFont val="Tahoma"/>
            <family val="2"/>
          </rPr>
          <t>+2% and -2% forecasts are pasted in as values from a different copy of the model with the revenue projection input changed only.</t>
        </r>
        <r>
          <rPr>
            <sz val="9"/>
            <color indexed="81"/>
            <rFont val="Tahoma"/>
            <family val="2"/>
          </rPr>
          <t xml:space="preserve">
</t>
        </r>
      </text>
    </comment>
  </commentList>
</comments>
</file>

<file path=xl/comments3.xml><?xml version="1.0" encoding="utf-8"?>
<comments xmlns="http://schemas.openxmlformats.org/spreadsheetml/2006/main">
  <authors>
    <author>Chad Dykoski</author>
  </authors>
  <commentList>
    <comment ref="G7" authorId="0">
      <text>
        <r>
          <rPr>
            <b/>
            <sz val="9"/>
            <color indexed="81"/>
            <rFont val="Tahoma"/>
            <family val="2"/>
          </rPr>
          <t>Worst case, same as base case but -10% revenue growth (+21.6% in base case), 8.0 A/R turnover (10.1 base), 5.0 inventory turnover (6.3 base), but a 3.5% long-term debt interest rate (5.2% base).</t>
        </r>
        <r>
          <rPr>
            <sz val="9"/>
            <color indexed="81"/>
            <rFont val="Tahoma"/>
            <family val="2"/>
          </rPr>
          <t xml:space="preserve">
</t>
        </r>
      </text>
    </comment>
    <comment ref="H7" authorId="0">
      <text>
        <r>
          <rPr>
            <b/>
            <sz val="9"/>
            <color indexed="81"/>
            <rFont val="Tahoma"/>
            <family val="2"/>
          </rPr>
          <t>Pasted values from base case scenario version of this model (all inputs = prior year actuals), differs from other version of model in that revenue growth rate is 21.6% rather than 30%, and SG&amp;A as a % of revenue is 24.4% rather than 25.4%</t>
        </r>
      </text>
    </comment>
    <comment ref="I7" authorId="0">
      <text>
        <r>
          <rPr>
            <b/>
            <sz val="9"/>
            <color indexed="81"/>
            <rFont val="Tahoma"/>
            <family val="2"/>
          </rPr>
          <t>Best case +30% growth, 38% gross profit rate (up from 35.7% base case), 12.0 A/R turnover (up from 10.1 base), 7.5 inventory turnover rate (up from 6.3), but long-term interest rate up to 6.3% up from 5.2% and tax rates go to 32% from 30%</t>
        </r>
      </text>
    </comment>
  </commentList>
</comments>
</file>

<file path=xl/sharedStrings.xml><?xml version="1.0" encoding="utf-8"?>
<sst xmlns="http://schemas.openxmlformats.org/spreadsheetml/2006/main" count="552" uniqueCount="250">
  <si>
    <t>(in millions)</t>
  </si>
  <si>
    <t>For the years ended December 31,</t>
  </si>
  <si>
    <t>Change in Balance Sheet</t>
  </si>
  <si>
    <t>Revenue</t>
  </si>
  <si>
    <t>Cost of Goods Sold</t>
  </si>
  <si>
    <t>SG&amp;A</t>
  </si>
  <si>
    <t>Depreciation &amp; Amortization Exp.</t>
  </si>
  <si>
    <t>Interest Expense</t>
  </si>
  <si>
    <t>Income Tax Expense</t>
  </si>
  <si>
    <t>Net Income</t>
  </si>
  <si>
    <t>Earnings Per Share</t>
  </si>
  <si>
    <t>Shares Issued and Outstanding</t>
  </si>
  <si>
    <t>Income Before Tax</t>
  </si>
  <si>
    <t>EBIT</t>
  </si>
  <si>
    <t>Gross Profit</t>
  </si>
  <si>
    <t>Cash</t>
  </si>
  <si>
    <t>Accounts Receivable</t>
  </si>
  <si>
    <t>Inventory</t>
  </si>
  <si>
    <t>Other Current Assets</t>
  </si>
  <si>
    <t xml:space="preserve">     Total Current Assets</t>
  </si>
  <si>
    <t>PP&amp;E</t>
  </si>
  <si>
    <t>Accumulated Depreciation</t>
  </si>
  <si>
    <t xml:space="preserve">     Net PP&amp;E</t>
  </si>
  <si>
    <t>Other Noncurrent Assets</t>
  </si>
  <si>
    <t xml:space="preserve">    Total Assets</t>
  </si>
  <si>
    <t>Assets</t>
  </si>
  <si>
    <t>Liabilities and Shareholders' Equity</t>
  </si>
  <si>
    <t>Accounts Payable</t>
  </si>
  <si>
    <t>Current Portion of Long-Term Debt</t>
  </si>
  <si>
    <t>Accrued Expenses</t>
  </si>
  <si>
    <t>Income Taxes and Other</t>
  </si>
  <si>
    <t xml:space="preserve">     Total Current Liabilities</t>
  </si>
  <si>
    <t>Deferred Income Taxes and Other</t>
  </si>
  <si>
    <t>Long-Term Debt</t>
  </si>
  <si>
    <t xml:space="preserve">     Total Liabilities</t>
  </si>
  <si>
    <t>Common Stock</t>
  </si>
  <si>
    <t>Additional Paid-In Capital</t>
  </si>
  <si>
    <t>Retained Earnings</t>
  </si>
  <si>
    <t>Balance Check (OK or Error)</t>
  </si>
  <si>
    <t>Cash Flow Additional Inputs</t>
  </si>
  <si>
    <t>Adjustments to Reconcile Net Income to Net Cash Flow</t>
  </si>
  <si>
    <t xml:space="preserve">  Noncash Adjustments</t>
  </si>
  <si>
    <t xml:space="preserve">  Changes in Working Capital</t>
  </si>
  <si>
    <t xml:space="preserve">     + Depreciation and Amortization</t>
  </si>
  <si>
    <t xml:space="preserve">     Decrease (Increase) in A/R</t>
  </si>
  <si>
    <t xml:space="preserve">     Decrease (Increase) in Inventory </t>
  </si>
  <si>
    <t xml:space="preserve">     Increase (Decrease) in A/P</t>
  </si>
  <si>
    <t xml:space="preserve">     Increase (Decrease) in Accrued
       Expenses</t>
  </si>
  <si>
    <t>Financing Activities</t>
  </si>
  <si>
    <t>Increase (Decrease) in Long-Term
  Debt [Source (Use) of Cash]</t>
  </si>
  <si>
    <t>Beginning Cash</t>
  </si>
  <si>
    <t>Minimum Cash Balance</t>
  </si>
  <si>
    <t>Ending Cash</t>
  </si>
  <si>
    <t>Excesss (Required) Cash</t>
  </si>
  <si>
    <t>Less Dividends Paid</t>
  </si>
  <si>
    <t>CapEx Spend</t>
  </si>
  <si>
    <t>Source</t>
  </si>
  <si>
    <t>Income Statement</t>
  </si>
  <si>
    <t xml:space="preserve">     Increase (Decrease) in Income
       Taxes and Other</t>
  </si>
  <si>
    <t>Revenue Growth Rate</t>
  </si>
  <si>
    <t>Long-Term Debt Interest Rate</t>
  </si>
  <si>
    <t>Assumptions</t>
  </si>
  <si>
    <t>Check Sum</t>
  </si>
  <si>
    <t>Ending Cash vs. Cash on Balance Sheet Check</t>
  </si>
  <si>
    <t>Actual Rates</t>
  </si>
  <si>
    <t>Cash Flow Assumptions</t>
  </si>
  <si>
    <t>Other NonCurrent Assets</t>
  </si>
  <si>
    <t>Input Fields for Income Statements</t>
  </si>
  <si>
    <t>Year</t>
  </si>
  <si>
    <t>Financial Projection Input Assumptions</t>
  </si>
  <si>
    <t>Pro Forma Balance Sheet</t>
  </si>
  <si>
    <t>Depreciation &amp; Amortization</t>
  </si>
  <si>
    <t>Gross Margin</t>
  </si>
  <si>
    <t xml:space="preserve"> </t>
  </si>
  <si>
    <t>For the Year Ended December 31,</t>
  </si>
  <si>
    <t>December 31,</t>
  </si>
  <si>
    <t>Cash &amp; Cash Equivalents</t>
  </si>
  <si>
    <t xml:space="preserve">     Decrease (Increase) in Other Current Assets </t>
  </si>
  <si>
    <t xml:space="preserve">     Decrease (Increase) in Other Noncurrent Assets </t>
  </si>
  <si>
    <t>CALCULATED</t>
  </si>
  <si>
    <t>EBITDA</t>
  </si>
  <si>
    <t>n/a</t>
  </si>
  <si>
    <t>TOTAL ASSETS</t>
  </si>
  <si>
    <t>ASSETS</t>
  </si>
  <si>
    <t>LIABILITIES AND SHAREHOLDERS' EQUITY</t>
  </si>
  <si>
    <t>Current Liabilities</t>
  </si>
  <si>
    <t>Long Term Liabilities</t>
  </si>
  <si>
    <t>Balance Sheet</t>
  </si>
  <si>
    <t>ShopNow!</t>
  </si>
  <si>
    <t>(all numbers in millions)</t>
  </si>
  <si>
    <t>Shareholders' Equity</t>
  </si>
  <si>
    <t>Statement of Cash Flows</t>
  </si>
  <si>
    <t>Indirect Method</t>
  </si>
  <si>
    <t>Cash flows from Operating Activities</t>
  </si>
  <si>
    <t xml:space="preserve">  Changes in LT Assets &amp; Liabilities</t>
  </si>
  <si>
    <t>Cash flows from Investing Activities</t>
  </si>
  <si>
    <t>Cash flows from Financing Activities</t>
  </si>
  <si>
    <t xml:space="preserve">  Net Cash Flow From Operating Activities</t>
  </si>
  <si>
    <t xml:space="preserve">  Net Cash Flow from Financing Activities</t>
  </si>
  <si>
    <t xml:space="preserve">  Net Cash Flow from Investing Activities</t>
  </si>
  <si>
    <t>Summary</t>
  </si>
  <si>
    <t>Dividends Paid</t>
  </si>
  <si>
    <t>&lt;– Enter as negative</t>
  </si>
  <si>
    <t>$</t>
  </si>
  <si>
    <t>%</t>
  </si>
  <si>
    <t>Input Fields for Balance Sheets</t>
  </si>
  <si>
    <t>ShopNow! Financial Statements Input Values</t>
  </si>
  <si>
    <t>LT Liabilities</t>
  </si>
  <si>
    <t>Cash Flow</t>
  </si>
  <si>
    <t>Decrease (Increase) in A/R</t>
  </si>
  <si>
    <t>Increase (Decrease) in Accrued Expenses</t>
  </si>
  <si>
    <t>Increase (Decrease) in Income Taxes and Other</t>
  </si>
  <si>
    <t>Decrease (Increase) in Inventory</t>
  </si>
  <si>
    <t>Decrease (Increase) in Other Current Assets</t>
  </si>
  <si>
    <t>Increase (Decrease) in A/P</t>
  </si>
  <si>
    <t>Balance Sheet Check</t>
  </si>
  <si>
    <t>Net Income Check</t>
  </si>
  <si>
    <t>Cash Flow Check</t>
  </si>
  <si>
    <t>Real Time Error Check</t>
  </si>
  <si>
    <t>Historical Financials</t>
  </si>
  <si>
    <t>Projected Financials</t>
  </si>
  <si>
    <r>
      <t>−</t>
    </r>
    <r>
      <rPr>
        <sz val="11"/>
        <color theme="1"/>
        <rFont val="Calibri"/>
        <family val="2"/>
      </rPr>
      <t>Δ</t>
    </r>
    <r>
      <rPr>
        <sz val="11"/>
        <color theme="1"/>
        <rFont val="Times New Roman"/>
        <family val="1"/>
      </rPr>
      <t xml:space="preserve"> Balance Sheet</t>
    </r>
  </si>
  <si>
    <r>
      <rPr>
        <sz val="11"/>
        <color theme="1"/>
        <rFont val="Calibri"/>
        <family val="2"/>
      </rPr>
      <t>Δ</t>
    </r>
    <r>
      <rPr>
        <sz val="11"/>
        <color theme="1"/>
        <rFont val="Times New Roman"/>
        <family val="1"/>
      </rPr>
      <t xml:space="preserve"> Balance Sheet</t>
    </r>
  </si>
  <si>
    <t>Sheet Cash</t>
  </si>
  <si>
    <t xml:space="preserve">PY Balance </t>
  </si>
  <si>
    <t>Forecast</t>
  </si>
  <si>
    <t>Actual</t>
  </si>
  <si>
    <t xml:space="preserve"> +2% Forecast</t>
  </si>
  <si>
    <t xml:space="preserve"> -2%Forecast</t>
  </si>
  <si>
    <t xml:space="preserve">Pro Forma Income Statement </t>
  </si>
  <si>
    <t xml:space="preserve"> Worst Case</t>
  </si>
  <si>
    <t>Base Case</t>
  </si>
  <si>
    <t xml:space="preserve"> Best Case</t>
  </si>
  <si>
    <t>Worst</t>
  </si>
  <si>
    <t>Base</t>
  </si>
  <si>
    <t>Best</t>
  </si>
  <si>
    <t>Current Ratio</t>
  </si>
  <si>
    <t>Quick Ratio</t>
  </si>
  <si>
    <t>Alternate Quick Ratio</t>
  </si>
  <si>
    <t>Cash Ratio</t>
  </si>
  <si>
    <t>Debt to Total Assets</t>
  </si>
  <si>
    <t>Total debt</t>
  </si>
  <si>
    <t>Total Liabilities to Total Assets</t>
  </si>
  <si>
    <t>Debt to Equity</t>
  </si>
  <si>
    <t>Alternate Debt to Equity</t>
  </si>
  <si>
    <t>Long-Term Debt to Equity</t>
  </si>
  <si>
    <t>Degree of Operating Leverage (DOL)</t>
  </si>
  <si>
    <t>% Change in EBIT</t>
  </si>
  <si>
    <t>% Change in EPS</t>
  </si>
  <si>
    <t>Degree of Financial Leverage (DFL)</t>
  </si>
  <si>
    <t>% Change in Net Income</t>
  </si>
  <si>
    <t>% Change in Revenue</t>
  </si>
  <si>
    <t>Degree of Total Leverage</t>
  </si>
  <si>
    <t>Interest Coverage</t>
  </si>
  <si>
    <t>Cash Coverage</t>
  </si>
  <si>
    <t>Average A/R</t>
  </si>
  <si>
    <t>Days</t>
  </si>
  <si>
    <t>Average Inventory</t>
  </si>
  <si>
    <t>Days' Inventory Outstanding</t>
  </si>
  <si>
    <t>Days' Payables Outstanding</t>
  </si>
  <si>
    <t>Cash Conversion Cycle</t>
  </si>
  <si>
    <t>Days' Sales Outstanding</t>
  </si>
  <si>
    <t>Financial Ratios and Calculations For Part I, Domain B</t>
  </si>
  <si>
    <t>Inputs for Financial Ratios and Calculations</t>
  </si>
  <si>
    <t>Financial Ratios</t>
  </si>
  <si>
    <t>Weighted Average Cost of Capital (WACC)</t>
  </si>
  <si>
    <t>ShopNow! Current Stock Price per Share</t>
  </si>
  <si>
    <t>Chapter 8, Topic 1: Liquidity Ratios</t>
  </si>
  <si>
    <t>Chapter 8, Topic 2: Leverage Ratios</t>
  </si>
  <si>
    <t>Chapter 8, Topic 3: Activity Ratios</t>
  </si>
  <si>
    <t>Average Current Assets</t>
  </si>
  <si>
    <t>Average Current Liabilties</t>
  </si>
  <si>
    <t>Chapter 8, Topic 4: Profitability Ratios</t>
  </si>
  <si>
    <t>EBITDA Margin</t>
  </si>
  <si>
    <t>EBIT Margin</t>
  </si>
  <si>
    <t>Pretax Profit Margin</t>
  </si>
  <si>
    <t>Profit Margin</t>
  </si>
  <si>
    <t>Basic Earnings Per Share (EPS)</t>
  </si>
  <si>
    <t>Chapter 8, Topic 5: Market Ratios</t>
  </si>
  <si>
    <t>Dividend Yield</t>
  </si>
  <si>
    <t>Earnings Yield</t>
  </si>
  <si>
    <t>Price to Earnings</t>
  </si>
  <si>
    <t>Price To Book</t>
  </si>
  <si>
    <t>Alternate Price to Book</t>
  </si>
  <si>
    <t>Price to Sales</t>
  </si>
  <si>
    <t>Price to Cash Flow</t>
  </si>
  <si>
    <t>Price to EBITDA</t>
  </si>
  <si>
    <t>Total Current Liabilities</t>
  </si>
  <si>
    <t>Total Liabilities</t>
  </si>
  <si>
    <t>TOTAL LIABILITIES AND SHAREHOLDERS' EQUITY</t>
  </si>
  <si>
    <t>Total Current Assets</t>
  </si>
  <si>
    <t>Gross PP&amp;E</t>
  </si>
  <si>
    <t>Net PP&amp;E</t>
  </si>
  <si>
    <t xml:space="preserve">Assumes no new shares issued </t>
  </si>
  <si>
    <t>(Common Size -  % of Sales)</t>
  </si>
  <si>
    <t>Gross Profit (% of Revenue)</t>
  </si>
  <si>
    <t>SG&amp;A (% of Revenue)</t>
  </si>
  <si>
    <t>Depreciation Rate (% of Gross PPE)</t>
  </si>
  <si>
    <t>2011-2012</t>
  </si>
  <si>
    <t>2012-2013</t>
  </si>
  <si>
    <t>Tax Rate (% of Income Before Tax)</t>
  </si>
  <si>
    <t>Actual Performance</t>
  </si>
  <si>
    <t>Average A/R Turnover Ratio</t>
  </si>
  <si>
    <t>Average Inventory Turnover Ratio</t>
  </si>
  <si>
    <t>Avaerage A/P Turnover Ratio</t>
  </si>
  <si>
    <t>Average Accrued Expenses Turnover Ratio</t>
  </si>
  <si>
    <t>Dividends/Share</t>
  </si>
  <si>
    <t>(Y-o-Y Change)</t>
  </si>
  <si>
    <t>($millions)</t>
  </si>
  <si>
    <t>Total Long Term Liabilities</t>
  </si>
  <si>
    <t>Balance Sheet Cash</t>
  </si>
  <si>
    <t>Change</t>
  </si>
  <si>
    <t>Deleted Accumulated depreciation</t>
  </si>
  <si>
    <t>Average A/R Turnover</t>
  </si>
  <si>
    <t>Average Inventory Turnover</t>
  </si>
  <si>
    <t>Average A/P</t>
  </si>
  <si>
    <t>Average A/P Turnover</t>
  </si>
  <si>
    <t>Average Fixed Asset Turnover</t>
  </si>
  <si>
    <t>Average Asset Turnover</t>
  </si>
  <si>
    <t>Return on Average Assets</t>
  </si>
  <si>
    <t>Return on Average Equity</t>
  </si>
  <si>
    <t>Average Total Asset Turnover</t>
  </si>
  <si>
    <t>Return on Average Equity (DuPont Equation)</t>
  </si>
  <si>
    <t>Average Equity Multiplier</t>
  </si>
  <si>
    <t>NOPAT</t>
  </si>
  <si>
    <t>Assumed Constant</t>
  </si>
  <si>
    <t>Tax Rate</t>
  </si>
  <si>
    <t>Added for historical ratio calculations</t>
  </si>
  <si>
    <t>Free Cash Flow</t>
  </si>
  <si>
    <t xml:space="preserve">     Increase (Decrease) in Deferred Income Taxes and Other</t>
  </si>
  <si>
    <t>Taxes Payable and Other/Tax Expense</t>
  </si>
  <si>
    <t>Net Investment in Capital Employed</t>
  </si>
  <si>
    <t>Capital Employed (Debt + Equity)</t>
  </si>
  <si>
    <t>Pro Forma Income Statement</t>
  </si>
  <si>
    <t>As of December 31,</t>
  </si>
  <si>
    <t>For the Years Ended December 31,</t>
  </si>
  <si>
    <t>Pro Forma Statement of Cash Flows</t>
  </si>
  <si>
    <t>% Change: 2013-2014</t>
  </si>
  <si>
    <t>TOTAL LIABILITIES AND 
SHAREHOLDERS' EQUITY</t>
  </si>
  <si>
    <t>Inputs</t>
  </si>
  <si>
    <t>Average Working Capital Turnover</t>
  </si>
  <si>
    <t>Return on Capital Employed (ROCE)</t>
  </si>
  <si>
    <t>Average Capital Employed</t>
  </si>
  <si>
    <t>Effective Tax Rate</t>
  </si>
  <si>
    <t>ProjectedInputs</t>
  </si>
  <si>
    <r>
      <rPr>
        <sz val="11"/>
        <color theme="1"/>
        <rFont val="Calibri"/>
        <family val="2"/>
      </rPr>
      <t>−Δ</t>
    </r>
    <r>
      <rPr>
        <sz val="11"/>
        <color theme="1"/>
        <rFont val="Times New Roman"/>
        <family val="1"/>
      </rPr>
      <t xml:space="preserve"> Balance Sheet</t>
    </r>
  </si>
  <si>
    <t>Economic Profit (Economic Value Added (EVA))
  (Average Capital Employed)</t>
  </si>
  <si>
    <t>Free Cash Flow to Equity (FCFE)</t>
  </si>
  <si>
    <t>Average Fixed Assets (Net PP&amp;E)</t>
  </si>
  <si>
    <t>Gross PP&amp;E Growth Rate (% of Revenue)</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</si>
</sst>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0.000%"/>
    <numFmt numFmtId="165" formatCode="&quot;$&quot;#,##0.00"/>
    <numFmt numFmtId="166" formatCode="&quot;$&quot;#,##0,,_);[Red]\(&quot;$&quot;#,##0,,\)"/>
    <numFmt numFmtId="167" formatCode="#,##0,,_);[Red]\(#,##0,,\)"/>
    <numFmt numFmtId="168" formatCode="0.0%"/>
    <numFmt numFmtId="169" formatCode="0.0%_);[Red]\(0.0%\)"/>
    <numFmt numFmtId="170" formatCode="0.0"/>
  </numFmts>
  <fonts count="48" x14ac:knownFonts="1">
    <font>
      <sz val="11"/>
      <color theme="1"/>
      <name val="Calibri"/>
      <family val="2"/>
      <scheme val="minor"/>
    </font>
    <font>
      <sz val="11"/>
      <color theme="1"/>
      <name val="Calibri"/>
      <family val="2"/>
    </font>
    <font>
      <i/>
      <sz val="11"/>
      <color rgb="FF7F7F7F"/>
      <name val="Calibri"/>
      <family val="2"/>
      <scheme val="minor"/>
    </font>
    <font>
      <sz val="11"/>
      <color theme="1"/>
      <name val="Calibri"/>
      <family val="2"/>
      <scheme val="minor"/>
    </font>
    <font>
      <b/>
      <sz val="11"/>
      <color rgb="FFFA7D00"/>
      <name val="Calibri"/>
      <family val="2"/>
      <scheme val="minor"/>
    </font>
    <font>
      <sz val="9"/>
      <color indexed="81"/>
      <name val="Tahoma"/>
      <family val="2"/>
    </font>
    <font>
      <b/>
      <sz val="9"/>
      <color indexed="81"/>
      <name val="Tahoma"/>
      <family val="2"/>
    </font>
    <font>
      <sz val="10"/>
      <name val="Times New Roman"/>
      <family val="1"/>
    </font>
    <font>
      <sz val="10"/>
      <name val="Arial"/>
      <family val="2"/>
    </font>
    <font>
      <b/>
      <sz val="26"/>
      <color indexed="9"/>
      <name val="Times New Roman"/>
      <family val="1"/>
    </font>
    <font>
      <b/>
      <sz val="14"/>
      <name val="Times New Roman"/>
      <family val="1"/>
    </font>
    <font>
      <i/>
      <sz val="10"/>
      <name val="Times New Roman"/>
      <family val="1"/>
    </font>
    <font>
      <sz val="11"/>
      <color theme="1"/>
      <name val="Times New Roman"/>
      <family val="1"/>
    </font>
    <font>
      <b/>
      <i/>
      <sz val="11"/>
      <color theme="1"/>
      <name val="Times New Roman"/>
      <family val="1"/>
    </font>
    <font>
      <i/>
      <sz val="11"/>
      <color theme="1"/>
      <name val="Times New Roman"/>
      <family val="1"/>
    </font>
    <font>
      <b/>
      <sz val="11"/>
      <color theme="1"/>
      <name val="Times New Roman"/>
      <family val="1"/>
    </font>
    <font>
      <b/>
      <sz val="11"/>
      <name val="Times New Roman"/>
      <family val="1"/>
    </font>
    <font>
      <b/>
      <sz val="14"/>
      <color theme="1"/>
      <name val="Times New Roman"/>
      <family val="1"/>
    </font>
    <font>
      <b/>
      <sz val="11"/>
      <color rgb="FFFA7D00"/>
      <name val="Times New Roman"/>
      <family val="1"/>
    </font>
    <font>
      <b/>
      <sz val="11"/>
      <color indexed="8"/>
      <name val="Times New Roman"/>
      <family val="1"/>
    </font>
    <font>
      <u/>
      <sz val="11"/>
      <color theme="10"/>
      <name val="Calibri"/>
      <family val="2"/>
      <scheme val="minor"/>
    </font>
    <font>
      <sz val="11"/>
      <color indexed="8"/>
      <name val="Times New Roman"/>
      <family val="1"/>
    </font>
    <font>
      <u/>
      <sz val="11"/>
      <color theme="10"/>
      <name val="Times New Roman"/>
      <family val="1"/>
    </font>
    <font>
      <b/>
      <sz val="12"/>
      <color theme="1"/>
      <name val="Times New Roman"/>
      <family val="1"/>
    </font>
    <font>
      <b/>
      <sz val="22"/>
      <color indexed="9"/>
      <name val="Times New Roman"/>
      <family val="1"/>
    </font>
    <font>
      <i/>
      <sz val="11"/>
      <color rgb="FF7F7F7F"/>
      <name val="Times New Roman"/>
      <family val="1"/>
    </font>
    <font>
      <b/>
      <sz val="11"/>
      <color rgb="FF000000"/>
      <name val="Times New Roman"/>
      <family val="1"/>
    </font>
    <font>
      <sz val="11"/>
      <color rgb="FF000000"/>
      <name val="Times New Roman"/>
      <family val="1"/>
    </font>
    <font>
      <b/>
      <i/>
      <sz val="11"/>
      <color rgb="FF000000"/>
      <name val="Times New Roman"/>
      <family val="1"/>
    </font>
    <font>
      <u/>
      <sz val="11"/>
      <color theme="11"/>
      <name val="Calibri"/>
      <family val="2"/>
      <scheme val="minor"/>
    </font>
    <font>
      <u/>
      <sz val="11"/>
      <color theme="1"/>
      <name val="Times New Roman"/>
      <family val="1"/>
    </font>
    <font>
      <sz val="11"/>
      <color rgb="FF0000FF"/>
      <name val="Times New Roman"/>
      <family val="1"/>
    </font>
    <font>
      <sz val="8"/>
      <name val="Calibri"/>
      <family val="2"/>
      <scheme val="minor"/>
    </font>
    <font>
      <i/>
      <sz val="14"/>
      <name val="Times New Roman"/>
      <family val="1"/>
    </font>
    <font>
      <b/>
      <sz val="18"/>
      <name val="Times New Roman"/>
      <family val="1"/>
    </font>
    <font>
      <b/>
      <sz val="11"/>
      <color rgb="FF0000FF"/>
      <name val="Calibri"/>
      <family val="2"/>
      <scheme val="minor"/>
    </font>
    <font>
      <i/>
      <sz val="12"/>
      <color theme="1"/>
      <name val="Times New Roman"/>
      <family val="1"/>
    </font>
    <font>
      <b/>
      <sz val="9"/>
      <color indexed="81"/>
      <name val="Calibri"/>
      <family val="2"/>
    </font>
    <font>
      <b/>
      <sz val="18"/>
      <color theme="1"/>
      <name val="Times New Roman"/>
      <family val="1"/>
    </font>
    <font>
      <i/>
      <sz val="12"/>
      <name val="Times New Roman"/>
      <family val="1"/>
    </font>
    <font>
      <b/>
      <i/>
      <sz val="14"/>
      <color theme="1"/>
      <name val="Times New Roman"/>
      <family val="1"/>
    </font>
    <font>
      <i/>
      <sz val="14"/>
      <color theme="1"/>
      <name val="Times New Roman"/>
      <family val="1"/>
    </font>
    <font>
      <sz val="11"/>
      <color rgb="FFFF0000"/>
      <name val="Calibri"/>
      <family val="2"/>
      <scheme val="minor"/>
    </font>
    <font>
      <sz val="11"/>
      <color rgb="FFFF0000"/>
      <name val="Times New Roman"/>
      <family val="1"/>
    </font>
    <font>
      <i/>
      <sz val="14"/>
      <name val="Times New Roman"/>
      <family val="1"/>
    </font>
    <font>
      <b/>
      <sz val="18"/>
      <name val="Times New Roman"/>
      <family val="1"/>
    </font>
    <font>
      <sz val="11"/>
      <name val="Times New Roman"/>
      <family val="1"/>
    </font>
    <font>
      <b/>
      <sz val="26"/>
      <color theme="2"/>
      <name val="Times New Roman"/>
      <family val="1"/>
    </font>
  </fonts>
  <fills count="14">
    <fill>
      <patternFill patternType="none"/>
    </fill>
    <fill>
      <patternFill patternType="gray125"/>
    </fill>
    <fill>
      <patternFill patternType="solid">
        <fgColor rgb="FFF2F2F2"/>
      </patternFill>
    </fill>
    <fill>
      <patternFill patternType="solid">
        <fgColor theme="0" tint="-4.9989318521683403E-2"/>
        <bgColor indexed="64"/>
      </patternFill>
    </fill>
    <fill>
      <patternFill patternType="solid">
        <fgColor indexed="18"/>
        <bgColor indexed="9"/>
      </patternFill>
    </fill>
    <fill>
      <patternFill patternType="solid">
        <fgColor indexed="9"/>
        <bgColor indexed="26"/>
      </patternFill>
    </fill>
    <fill>
      <patternFill patternType="solid">
        <fgColor indexed="9"/>
        <bgColor indexed="9"/>
      </patternFill>
    </fill>
    <fill>
      <patternFill patternType="solid">
        <fgColor rgb="FFF2F2F2"/>
        <bgColor rgb="FF000000"/>
      </patternFill>
    </fill>
    <fill>
      <patternFill patternType="solid">
        <fgColor theme="0"/>
        <bgColor indexed="64"/>
      </patternFill>
    </fill>
    <fill>
      <patternFill patternType="solid">
        <fgColor theme="0"/>
        <bgColor indexed="26"/>
      </patternFill>
    </fill>
    <fill>
      <patternFill patternType="solid">
        <fgColor theme="0"/>
        <bgColor indexed="9"/>
      </patternFill>
    </fill>
    <fill>
      <patternFill patternType="solid">
        <fgColor indexed="65"/>
        <bgColor auto="1"/>
      </patternFill>
    </fill>
    <fill>
      <patternFill patternType="solid">
        <fgColor theme="4" tint="0.79998168889431442"/>
        <bgColor indexed="65"/>
      </patternFill>
    </fill>
    <fill>
      <patternFill patternType="solid">
        <fgColor rgb="FF000080"/>
        <bgColor indexed="64"/>
      </patternFill>
    </fill>
  </fills>
  <borders count="35">
    <border>
      <left/>
      <right/>
      <top/>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double">
        <color auto="1"/>
      </bottom>
      <diagonal/>
    </border>
    <border>
      <left/>
      <right/>
      <top/>
      <bottom style="medium">
        <color auto="1"/>
      </bottom>
      <diagonal/>
    </border>
    <border>
      <left/>
      <right/>
      <top style="thin">
        <color auto="1"/>
      </top>
      <bottom style="thin">
        <color auto="1"/>
      </bottom>
      <diagonal/>
    </border>
    <border>
      <left/>
      <right style="thin">
        <color auto="1"/>
      </right>
      <top/>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top style="double">
        <color auto="1"/>
      </top>
      <bottom style="thin">
        <color auto="1"/>
      </bottom>
      <diagonal/>
    </border>
    <border>
      <left/>
      <right/>
      <top style="thin">
        <color rgb="FF7F7F7F"/>
      </top>
      <bottom style="thin">
        <color rgb="FF7F7F7F"/>
      </bottom>
      <diagonal/>
    </border>
    <border>
      <left style="thin">
        <color rgb="FF7F7F7F"/>
      </left>
      <right/>
      <top style="thin">
        <color rgb="FF7F7F7F"/>
      </top>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bottom/>
      <diagonal/>
    </border>
    <border>
      <left/>
      <right style="thin">
        <color rgb="FF7F7F7F"/>
      </right>
      <top style="thin">
        <color rgb="FF7F7F7F"/>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top style="medium">
        <color auto="1"/>
      </top>
      <bottom/>
      <diagonal/>
    </border>
    <border>
      <left/>
      <right/>
      <top/>
      <bottom style="double">
        <color indexed="64"/>
      </bottom>
      <diagonal/>
    </border>
  </borders>
  <cellStyleXfs count="64">
    <xf numFmtId="0" fontId="0" fillId="0" borderId="0"/>
    <xf numFmtId="0" fontId="2" fillId="0" borderId="0" applyNumberFormat="0" applyFill="0" applyBorder="0" applyAlignment="0" applyProtection="0"/>
    <xf numFmtId="9" fontId="3" fillId="0" borderId="0" applyFont="0" applyFill="0" applyBorder="0" applyAlignment="0" applyProtection="0"/>
    <xf numFmtId="0" fontId="4" fillId="2" borderId="1" applyNumberFormat="0" applyAlignment="0" applyProtection="0"/>
    <xf numFmtId="0" fontId="1" fillId="0" borderId="0"/>
    <xf numFmtId="0" fontId="1" fillId="0" borderId="0"/>
    <xf numFmtId="0" fontId="1" fillId="0" borderId="0"/>
    <xf numFmtId="0" fontId="7" fillId="0" borderId="0"/>
    <xf numFmtId="43" fontId="1" fillId="0" borderId="0" applyFont="0" applyFill="0" applyBorder="0" applyAlignment="0" applyProtection="0"/>
    <xf numFmtId="44" fontId="1" fillId="0" borderId="0" applyFont="0" applyFill="0" applyBorder="0" applyAlignment="0" applyProtection="0"/>
    <xf numFmtId="0" fontId="8" fillId="0" borderId="0"/>
    <xf numFmtId="0" fontId="2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12" borderId="0" applyNumberFormat="0" applyBorder="0" applyAlignment="0" applyProtection="0"/>
  </cellStyleXfs>
  <cellXfs count="348">
    <xf numFmtId="0" fontId="0" fillId="0" borderId="0" xfId="0"/>
    <xf numFmtId="0" fontId="12" fillId="0" borderId="0" xfId="0" applyFont="1"/>
    <xf numFmtId="166" fontId="12" fillId="0" borderId="0" xfId="0" applyNumberFormat="1" applyFont="1"/>
    <xf numFmtId="0" fontId="12" fillId="0" borderId="0" xfId="0" applyFont="1" applyAlignment="1">
      <alignment wrapText="1"/>
    </xf>
    <xf numFmtId="166" fontId="12" fillId="0" borderId="0" xfId="0" applyNumberFormat="1" applyFont="1" applyBorder="1"/>
    <xf numFmtId="0" fontId="13" fillId="0" borderId="0" xfId="0" applyFont="1" applyAlignment="1">
      <alignment vertical="center"/>
    </xf>
    <xf numFmtId="0" fontId="12" fillId="0" borderId="0" xfId="0" applyFont="1" applyAlignment="1">
      <alignment horizontal="center"/>
    </xf>
    <xf numFmtId="0" fontId="12" fillId="0" borderId="14" xfId="0" applyFont="1" applyBorder="1" applyAlignment="1">
      <alignment horizontal="left" wrapText="1" indent="1"/>
    </xf>
    <xf numFmtId="0" fontId="12" fillId="0" borderId="0" xfId="0" applyFont="1" applyBorder="1"/>
    <xf numFmtId="0" fontId="12" fillId="0" borderId="6" xfId="0" applyFont="1" applyBorder="1"/>
    <xf numFmtId="0" fontId="12" fillId="0" borderId="2" xfId="0" applyFont="1" applyBorder="1"/>
    <xf numFmtId="0" fontId="12" fillId="0" borderId="13" xfId="0" applyFont="1" applyBorder="1"/>
    <xf numFmtId="0" fontId="17" fillId="0" borderId="0" xfId="0" applyFont="1"/>
    <xf numFmtId="0" fontId="15" fillId="0" borderId="0" xfId="0" applyFont="1"/>
    <xf numFmtId="0" fontId="12" fillId="0" borderId="0" xfId="0" applyFont="1" applyFill="1"/>
    <xf numFmtId="0" fontId="15" fillId="0" borderId="12" xfId="0" applyFont="1" applyBorder="1" applyAlignment="1">
      <alignment horizontal="center"/>
    </xf>
    <xf numFmtId="0" fontId="15" fillId="0" borderId="2" xfId="0" applyFont="1" applyBorder="1" applyAlignment="1">
      <alignment horizontal="center"/>
    </xf>
    <xf numFmtId="0" fontId="15" fillId="0" borderId="13" xfId="0" applyFont="1" applyBorder="1" applyAlignment="1">
      <alignment horizontal="center"/>
    </xf>
    <xf numFmtId="0" fontId="12" fillId="0" borderId="11" xfId="0" applyFont="1" applyBorder="1"/>
    <xf numFmtId="0" fontId="15" fillId="3" borderId="9" xfId="0" applyFont="1" applyFill="1" applyBorder="1"/>
    <xf numFmtId="0" fontId="12" fillId="3" borderId="10" xfId="0" applyFont="1" applyFill="1" applyBorder="1"/>
    <xf numFmtId="0" fontId="12" fillId="3" borderId="11" xfId="0" applyFont="1" applyFill="1" applyBorder="1"/>
    <xf numFmtId="0" fontId="12" fillId="3" borderId="0" xfId="0" applyFont="1" applyFill="1" applyBorder="1"/>
    <xf numFmtId="0" fontId="12" fillId="3" borderId="6" xfId="0" applyFont="1" applyFill="1" applyBorder="1"/>
    <xf numFmtId="0" fontId="12" fillId="0" borderId="14" xfId="0" applyFont="1" applyBorder="1"/>
    <xf numFmtId="0" fontId="15" fillId="0" borderId="0" xfId="0" applyFont="1" applyBorder="1"/>
    <xf numFmtId="0" fontId="15" fillId="0" borderId="14" xfId="0" applyFont="1" applyFill="1" applyBorder="1"/>
    <xf numFmtId="0" fontId="15" fillId="0" borderId="6" xfId="0" applyFont="1" applyBorder="1"/>
    <xf numFmtId="0" fontId="12" fillId="0" borderId="14" xfId="0" applyFont="1" applyFill="1" applyBorder="1"/>
    <xf numFmtId="9" fontId="12" fillId="0" borderId="6" xfId="0" applyNumberFormat="1" applyFont="1" applyBorder="1"/>
    <xf numFmtId="0" fontId="12" fillId="0" borderId="14" xfId="0" applyFont="1" applyFill="1" applyBorder="1" applyAlignment="1">
      <alignment horizontal="left" indent="1"/>
    </xf>
    <xf numFmtId="0" fontId="15" fillId="0" borderId="14" xfId="0" applyFont="1" applyFill="1" applyBorder="1" applyAlignment="1">
      <alignment horizontal="left"/>
    </xf>
    <xf numFmtId="0" fontId="12" fillId="0" borderId="12" xfId="0" applyFont="1" applyBorder="1"/>
    <xf numFmtId="0" fontId="15" fillId="0" borderId="14" xfId="0" applyFont="1" applyBorder="1"/>
    <xf numFmtId="0" fontId="12" fillId="0" borderId="14" xfId="0" applyFont="1" applyBorder="1" applyAlignment="1">
      <alignment horizontal="left" indent="1"/>
    </xf>
    <xf numFmtId="0" fontId="12" fillId="3" borderId="14" xfId="0" applyFont="1" applyFill="1" applyBorder="1"/>
    <xf numFmtId="0" fontId="15" fillId="0" borderId="14" xfId="0" applyFont="1" applyBorder="1" applyAlignment="1">
      <alignment wrapText="1"/>
    </xf>
    <xf numFmtId="0" fontId="12" fillId="0" borderId="14" xfId="0" applyFont="1" applyBorder="1" applyAlignment="1">
      <alignment wrapText="1"/>
    </xf>
    <xf numFmtId="0" fontId="15" fillId="3" borderId="0" xfId="0" applyFont="1" applyFill="1" applyAlignment="1">
      <alignment horizontal="center"/>
    </xf>
    <xf numFmtId="0" fontId="13" fillId="0" borderId="9" xfId="0" applyFont="1" applyBorder="1"/>
    <xf numFmtId="0" fontId="15" fillId="3" borderId="0" xfId="0" applyFont="1" applyFill="1" applyBorder="1" applyAlignment="1">
      <alignment horizontal="center"/>
    </xf>
    <xf numFmtId="0" fontId="15" fillId="3" borderId="6" xfId="0" applyFont="1" applyFill="1" applyBorder="1" applyAlignment="1">
      <alignment horizontal="center"/>
    </xf>
    <xf numFmtId="0" fontId="12" fillId="0" borderId="0" xfId="0" applyFont="1" applyBorder="1" applyAlignment="1">
      <alignment horizontal="center"/>
    </xf>
    <xf numFmtId="0" fontId="12" fillId="0" borderId="6" xfId="0" applyFont="1" applyBorder="1" applyAlignment="1">
      <alignment horizontal="center"/>
    </xf>
    <xf numFmtId="0" fontId="23" fillId="0" borderId="6" xfId="0" applyFont="1" applyBorder="1" applyAlignment="1">
      <alignment horizontal="center"/>
    </xf>
    <xf numFmtId="0" fontId="22" fillId="0" borderId="12" xfId="11" applyFont="1" applyBorder="1" applyAlignment="1">
      <alignment horizontal="center"/>
    </xf>
    <xf numFmtId="0" fontId="22" fillId="0" borderId="2" xfId="11" applyFont="1" applyBorder="1" applyAlignment="1">
      <alignment horizontal="center"/>
    </xf>
    <xf numFmtId="0" fontId="22" fillId="0" borderId="13" xfId="11" applyFont="1" applyBorder="1" applyAlignment="1">
      <alignment horizontal="center"/>
    </xf>
    <xf numFmtId="0" fontId="15" fillId="3" borderId="0" xfId="0" applyFont="1" applyFill="1"/>
    <xf numFmtId="166" fontId="15" fillId="3" borderId="0" xfId="0" applyNumberFormat="1" applyFont="1" applyFill="1"/>
    <xf numFmtId="0" fontId="15" fillId="3" borderId="0" xfId="0" applyFont="1" applyFill="1" applyAlignment="1">
      <alignment horizontal="left" indent="1"/>
    </xf>
    <xf numFmtId="166" fontId="15" fillId="3" borderId="3" xfId="0" applyNumberFormat="1" applyFont="1" applyFill="1" applyBorder="1"/>
    <xf numFmtId="166" fontId="12" fillId="3" borderId="0" xfId="0" applyNumberFormat="1" applyFont="1" applyFill="1"/>
    <xf numFmtId="0" fontId="15" fillId="3" borderId="0" xfId="0" applyFont="1" applyFill="1" applyAlignment="1">
      <alignment horizontal="left"/>
    </xf>
    <xf numFmtId="0" fontId="15" fillId="3" borderId="0" xfId="0" applyFont="1" applyFill="1" applyAlignment="1">
      <alignment wrapText="1"/>
    </xf>
    <xf numFmtId="0" fontId="13" fillId="3" borderId="0" xfId="0" applyFont="1" applyFill="1" applyAlignment="1">
      <alignment horizontal="left" wrapText="1"/>
    </xf>
    <xf numFmtId="166" fontId="13" fillId="3" borderId="0" xfId="0" applyNumberFormat="1" applyFont="1" applyFill="1"/>
    <xf numFmtId="0" fontId="14" fillId="0" borderId="0" xfId="0" applyFont="1"/>
    <xf numFmtId="8" fontId="12" fillId="0" borderId="0" xfId="0" applyNumberFormat="1" applyFont="1"/>
    <xf numFmtId="0" fontId="15" fillId="3" borderId="4" xfId="0" applyFont="1" applyFill="1" applyBorder="1" applyAlignment="1">
      <alignment wrapText="1"/>
    </xf>
    <xf numFmtId="167" fontId="15" fillId="3" borderId="4" xfId="0" applyNumberFormat="1" applyFont="1" applyFill="1" applyBorder="1"/>
    <xf numFmtId="0" fontId="12" fillId="0" borderId="0" xfId="0" applyFont="1" applyAlignment="1"/>
    <xf numFmtId="164" fontId="12" fillId="0" borderId="0" xfId="0" applyNumberFormat="1" applyFont="1"/>
    <xf numFmtId="0" fontId="25" fillId="0" borderId="0" xfId="1" applyFont="1" applyAlignment="1">
      <alignment wrapText="1"/>
    </xf>
    <xf numFmtId="0" fontId="23" fillId="0" borderId="11" xfId="0" applyFont="1" applyBorder="1" applyAlignment="1">
      <alignment horizontal="center"/>
    </xf>
    <xf numFmtId="0" fontId="12" fillId="0" borderId="12" xfId="0" applyFont="1" applyBorder="1" applyAlignment="1">
      <alignment horizontal="left" indent="1"/>
    </xf>
    <xf numFmtId="0" fontId="12" fillId="0" borderId="13" xfId="0" applyFont="1" applyBorder="1" applyAlignment="1">
      <alignment horizontal="center"/>
    </xf>
    <xf numFmtId="166" fontId="12" fillId="0" borderId="0" xfId="0" applyNumberFormat="1" applyFont="1" applyFill="1"/>
    <xf numFmtId="166" fontId="12" fillId="0" borderId="0" xfId="0" applyNumberFormat="1" applyFont="1" applyBorder="1" applyAlignment="1">
      <alignment horizontal="center" vertical="center"/>
    </xf>
    <xf numFmtId="166" fontId="26" fillId="7" borderId="0" xfId="0" applyNumberFormat="1" applyFont="1" applyFill="1" applyBorder="1"/>
    <xf numFmtId="166" fontId="28" fillId="7" borderId="0" xfId="0" applyNumberFormat="1" applyFont="1" applyFill="1" applyBorder="1"/>
    <xf numFmtId="166" fontId="26" fillId="7" borderId="3" xfId="0" applyNumberFormat="1" applyFont="1" applyFill="1" applyBorder="1"/>
    <xf numFmtId="167" fontId="26" fillId="7" borderId="4" xfId="0" applyNumberFormat="1" applyFont="1" applyFill="1" applyBorder="1"/>
    <xf numFmtId="0" fontId="12" fillId="8" borderId="0" xfId="0" applyFont="1" applyFill="1" applyAlignment="1">
      <alignment wrapText="1"/>
    </xf>
    <xf numFmtId="8" fontId="12" fillId="8" borderId="0" xfId="0" applyNumberFormat="1" applyFont="1" applyFill="1"/>
    <xf numFmtId="0" fontId="12" fillId="8" borderId="0" xfId="0" applyFont="1" applyFill="1" applyAlignment="1">
      <alignment horizontal="left" wrapText="1" indent="1"/>
    </xf>
    <xf numFmtId="166" fontId="12" fillId="8" borderId="2" xfId="0" applyNumberFormat="1" applyFont="1" applyFill="1" applyBorder="1"/>
    <xf numFmtId="166" fontId="27" fillId="8" borderId="2" xfId="0" applyNumberFormat="1" applyFont="1" applyFill="1" applyBorder="1"/>
    <xf numFmtId="166" fontId="12" fillId="8" borderId="0" xfId="0" applyNumberFormat="1" applyFont="1" applyFill="1"/>
    <xf numFmtId="166" fontId="27" fillId="8" borderId="0" xfId="0" applyNumberFormat="1" applyFont="1" applyFill="1" applyBorder="1"/>
    <xf numFmtId="8" fontId="27" fillId="8" borderId="0" xfId="0" applyNumberFormat="1" applyFont="1" applyFill="1" applyBorder="1"/>
    <xf numFmtId="0" fontId="27" fillId="0" borderId="0" xfId="0" applyFont="1" applyFill="1" applyBorder="1"/>
    <xf numFmtId="0" fontId="26" fillId="7" borderId="0" xfId="0" applyFont="1" applyFill="1" applyBorder="1"/>
    <xf numFmtId="166" fontId="26" fillId="7" borderId="5" xfId="0" applyNumberFormat="1" applyFont="1" applyFill="1" applyBorder="1"/>
    <xf numFmtId="0" fontId="15" fillId="8" borderId="0" xfId="0" applyFont="1" applyFill="1" applyAlignment="1">
      <alignment horizontal="center"/>
    </xf>
    <xf numFmtId="0" fontId="12" fillId="8" borderId="0" xfId="0" applyFont="1" applyFill="1" applyAlignment="1">
      <alignment horizontal="left" indent="1"/>
    </xf>
    <xf numFmtId="0" fontId="12" fillId="8" borderId="0" xfId="0" applyFont="1" applyFill="1"/>
    <xf numFmtId="2" fontId="12" fillId="0" borderId="0" xfId="0" applyNumberFormat="1" applyFont="1" applyFill="1"/>
    <xf numFmtId="0" fontId="15" fillId="0" borderId="0" xfId="0" applyFont="1" applyFill="1"/>
    <xf numFmtId="10" fontId="12" fillId="0" borderId="0" xfId="0" applyNumberFormat="1" applyFont="1" applyFill="1"/>
    <xf numFmtId="0" fontId="22" fillId="0" borderId="0" xfId="11" applyFont="1" applyAlignment="1">
      <alignment horizontal="center"/>
    </xf>
    <xf numFmtId="0" fontId="15" fillId="0" borderId="0" xfId="0" applyFont="1" applyBorder="1" applyAlignment="1">
      <alignment horizontal="center"/>
    </xf>
    <xf numFmtId="0" fontId="15" fillId="0" borderId="6" xfId="0" applyFont="1" applyBorder="1" applyAlignment="1">
      <alignment horizontal="center"/>
    </xf>
    <xf numFmtId="0" fontId="22" fillId="0" borderId="0" xfId="11" applyFont="1" applyAlignment="1"/>
    <xf numFmtId="0" fontId="15" fillId="0" borderId="0" xfId="0" applyFont="1" applyBorder="1" applyAlignment="1"/>
    <xf numFmtId="0" fontId="15" fillId="0" borderId="6" xfId="0" applyFont="1" applyBorder="1" applyAlignment="1"/>
    <xf numFmtId="166" fontId="18" fillId="2" borderId="17" xfId="3" applyNumberFormat="1" applyFont="1" applyBorder="1" applyAlignment="1"/>
    <xf numFmtId="0" fontId="12" fillId="0" borderId="21" xfId="0" applyFont="1" applyBorder="1"/>
    <xf numFmtId="167" fontId="18" fillId="2" borderId="31" xfId="3" applyNumberFormat="1" applyFont="1" applyBorder="1" applyAlignment="1"/>
    <xf numFmtId="0" fontId="12" fillId="0" borderId="32" xfId="0" applyFont="1" applyBorder="1"/>
    <xf numFmtId="0" fontId="12" fillId="0" borderId="23" xfId="0" applyFont="1" applyBorder="1"/>
    <xf numFmtId="0" fontId="12" fillId="0" borderId="6" xfId="0" applyFont="1" applyBorder="1" applyAlignment="1">
      <alignment horizontal="right"/>
    </xf>
    <xf numFmtId="0" fontId="12" fillId="0" borderId="0" xfId="0" applyFont="1" applyBorder="1" applyAlignment="1">
      <alignment vertical="center" wrapText="1"/>
    </xf>
    <xf numFmtId="0" fontId="12" fillId="0" borderId="0" xfId="0" applyFont="1" applyFill="1" applyAlignment="1">
      <alignment horizontal="center"/>
    </xf>
    <xf numFmtId="166" fontId="12" fillId="0" borderId="0" xfId="0" applyNumberFormat="1" applyFont="1" applyFill="1" applyBorder="1"/>
    <xf numFmtId="0" fontId="10" fillId="0" borderId="0" xfId="10" applyFont="1" applyFill="1" applyAlignment="1" applyProtection="1">
      <protection locked="0"/>
    </xf>
    <xf numFmtId="0" fontId="11" fillId="0" borderId="0" xfId="10" applyFont="1" applyFill="1" applyAlignment="1" applyProtection="1"/>
    <xf numFmtId="0" fontId="11" fillId="0" borderId="0" xfId="10" applyFont="1" applyFill="1" applyAlignment="1" applyProtection="1">
      <alignment horizontal="center"/>
    </xf>
    <xf numFmtId="0" fontId="12" fillId="0" borderId="0" xfId="0" applyFont="1" applyFill="1" applyAlignment="1">
      <alignment horizontal="left" indent="1"/>
    </xf>
    <xf numFmtId="166" fontId="15" fillId="0" borderId="0" xfId="0" applyNumberFormat="1" applyFont="1" applyFill="1"/>
    <xf numFmtId="166" fontId="15" fillId="0" borderId="3" xfId="0" applyNumberFormat="1" applyFont="1" applyFill="1" applyBorder="1"/>
    <xf numFmtId="166" fontId="15" fillId="0" borderId="0" xfId="0" applyNumberFormat="1" applyFont="1" applyFill="1" applyBorder="1"/>
    <xf numFmtId="8" fontId="12" fillId="0" borderId="0" xfId="0" applyNumberFormat="1" applyFont="1" applyFill="1"/>
    <xf numFmtId="0" fontId="15" fillId="0" borderId="0" xfId="0" applyFont="1" applyFill="1" applyAlignment="1">
      <alignment horizontal="left"/>
    </xf>
    <xf numFmtId="166" fontId="15" fillId="0" borderId="5" xfId="0" applyNumberFormat="1" applyFont="1" applyFill="1" applyBorder="1"/>
    <xf numFmtId="0" fontId="15" fillId="0" borderId="0" xfId="0" applyFont="1" applyFill="1" applyAlignment="1">
      <alignment wrapText="1"/>
    </xf>
    <xf numFmtId="0" fontId="30" fillId="0" borderId="0" xfId="0" applyFont="1" applyFill="1"/>
    <xf numFmtId="9" fontId="12" fillId="0" borderId="0" xfId="2" applyFont="1" applyFill="1"/>
    <xf numFmtId="0" fontId="12" fillId="0" borderId="0" xfId="0" applyFont="1" applyFill="1" applyAlignment="1">
      <alignment wrapText="1"/>
    </xf>
    <xf numFmtId="0" fontId="12" fillId="11" borderId="0" xfId="0" applyFont="1" applyFill="1" applyBorder="1"/>
    <xf numFmtId="0" fontId="9" fillId="0" borderId="0" xfId="0" applyFont="1" applyFill="1" applyAlignment="1" applyProtection="1">
      <alignment vertical="center"/>
    </xf>
    <xf numFmtId="0" fontId="12" fillId="11" borderId="0" xfId="0" applyFont="1" applyFill="1"/>
    <xf numFmtId="0" fontId="15" fillId="0" borderId="4" xfId="0" applyFont="1" applyFill="1" applyBorder="1" applyAlignment="1">
      <alignment horizontal="center"/>
    </xf>
    <xf numFmtId="0" fontId="15" fillId="0" borderId="0" xfId="0" applyFont="1" applyFill="1" applyAlignment="1">
      <alignment horizontal="center"/>
    </xf>
    <xf numFmtId="0" fontId="15" fillId="0" borderId="0" xfId="0" applyFont="1" applyFill="1" applyBorder="1" applyAlignment="1">
      <alignment wrapText="1"/>
    </xf>
    <xf numFmtId="0" fontId="23" fillId="0" borderId="4" xfId="0" applyFont="1" applyFill="1" applyBorder="1" applyAlignment="1">
      <alignment horizontal="center"/>
    </xf>
    <xf numFmtId="0" fontId="12" fillId="0" borderId="0" xfId="0" applyFont="1" applyFill="1" applyAlignment="1">
      <alignment horizontal="left" wrapText="1" indent="1"/>
    </xf>
    <xf numFmtId="0" fontId="15" fillId="0" borderId="0" xfId="0" applyFont="1" applyFill="1" applyAlignment="1">
      <alignment horizontal="left" wrapText="1"/>
    </xf>
    <xf numFmtId="9" fontId="12" fillId="0" borderId="0" xfId="2" applyFont="1" applyFill="1" applyBorder="1" applyAlignment="1">
      <alignment horizontal="right"/>
    </xf>
    <xf numFmtId="0" fontId="23" fillId="0" borderId="0" xfId="0" applyFont="1" applyFill="1" applyAlignment="1"/>
    <xf numFmtId="0" fontId="14" fillId="0" borderId="0" xfId="0" applyFont="1" applyFill="1"/>
    <xf numFmtId="0" fontId="12" fillId="0" borderId="0" xfId="0" applyFont="1" applyFill="1" applyBorder="1"/>
    <xf numFmtId="167" fontId="12" fillId="0" borderId="0" xfId="0" applyNumberFormat="1" applyFont="1" applyFill="1" applyBorder="1"/>
    <xf numFmtId="0" fontId="15" fillId="0" borderId="0" xfId="0" applyFont="1" applyFill="1" applyBorder="1"/>
    <xf numFmtId="9" fontId="12" fillId="0" borderId="0" xfId="0" applyNumberFormat="1" applyFont="1" applyFill="1"/>
    <xf numFmtId="9" fontId="12" fillId="0" borderId="0" xfId="0" applyNumberFormat="1" applyFont="1" applyFill="1" applyBorder="1"/>
    <xf numFmtId="166" fontId="12" fillId="0" borderId="0" xfId="0" applyNumberFormat="1" applyFont="1" applyFill="1" applyBorder="1" applyAlignment="1">
      <alignment vertical="center"/>
    </xf>
    <xf numFmtId="0" fontId="9" fillId="0" borderId="0" xfId="0" applyFont="1" applyFill="1" applyAlignment="1" applyProtection="1"/>
    <xf numFmtId="0" fontId="23" fillId="0" borderId="0" xfId="0" applyFont="1" applyFill="1" applyAlignment="1">
      <alignment horizontal="center"/>
    </xf>
    <xf numFmtId="0" fontId="12" fillId="0" borderId="4" xfId="0" applyFont="1" applyFill="1" applyBorder="1"/>
    <xf numFmtId="0" fontId="12" fillId="0" borderId="0" xfId="0" applyFont="1" applyFill="1" applyAlignment="1"/>
    <xf numFmtId="0" fontId="0" fillId="0" borderId="0" xfId="0" applyFill="1"/>
    <xf numFmtId="0" fontId="12" fillId="0" borderId="0" xfId="0" applyFont="1" applyFill="1" applyBorder="1" applyAlignment="1">
      <alignment wrapText="1"/>
    </xf>
    <xf numFmtId="0" fontId="12" fillId="0" borderId="0" xfId="0" applyFont="1" applyFill="1" applyBorder="1" applyAlignment="1">
      <alignment vertical="center"/>
    </xf>
    <xf numFmtId="166" fontId="13" fillId="0" borderId="0" xfId="0" applyNumberFormat="1" applyFont="1" applyFill="1"/>
    <xf numFmtId="166" fontId="35" fillId="2" borderId="1" xfId="3" applyNumberFormat="1" applyFont="1"/>
    <xf numFmtId="0" fontId="15" fillId="0" borderId="4" xfId="0" applyFont="1" applyFill="1" applyBorder="1" applyAlignment="1">
      <alignment wrapText="1"/>
    </xf>
    <xf numFmtId="169" fontId="15" fillId="0" borderId="0" xfId="2" applyNumberFormat="1" applyFont="1" applyFill="1" applyBorder="1" applyAlignment="1">
      <alignment horizontal="right"/>
    </xf>
    <xf numFmtId="169" fontId="12" fillId="0" borderId="0" xfId="2" applyNumberFormat="1" applyFont="1" applyFill="1" applyBorder="1" applyAlignment="1">
      <alignment horizontal="right"/>
    </xf>
    <xf numFmtId="169" fontId="12" fillId="0" borderId="4" xfId="2" applyNumberFormat="1" applyFont="1" applyFill="1" applyBorder="1" applyAlignment="1">
      <alignment horizontal="right"/>
    </xf>
    <xf numFmtId="9" fontId="15" fillId="0" borderId="0" xfId="2" applyFont="1" applyFill="1" applyBorder="1" applyAlignment="1">
      <alignment horizontal="right"/>
    </xf>
    <xf numFmtId="9" fontId="12" fillId="0" borderId="2" xfId="2" applyFont="1" applyFill="1" applyBorder="1" applyAlignment="1">
      <alignment horizontal="right"/>
    </xf>
    <xf numFmtId="9" fontId="13" fillId="0" borderId="0" xfId="2" applyFont="1" applyFill="1" applyBorder="1" applyAlignment="1">
      <alignment horizontal="right"/>
    </xf>
    <xf numFmtId="0" fontId="15" fillId="0" borderId="4" xfId="0" applyFont="1" applyBorder="1" applyAlignment="1">
      <alignment horizontal="right"/>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15" fillId="0" borderId="4" xfId="0" applyFont="1" applyFill="1" applyBorder="1" applyAlignment="1">
      <alignment horizontal="center" vertical="center"/>
    </xf>
    <xf numFmtId="0" fontId="16" fillId="0" borderId="0" xfId="0" applyFont="1" applyFill="1" applyBorder="1" applyAlignment="1" applyProtection="1">
      <alignment vertical="center"/>
    </xf>
    <xf numFmtId="0" fontId="15" fillId="0" borderId="0" xfId="0" applyFont="1" applyFill="1" applyBorder="1" applyAlignment="1">
      <alignment horizontal="center" vertical="center"/>
    </xf>
    <xf numFmtId="0" fontId="13" fillId="0" borderId="0" xfId="0" applyFont="1" applyFill="1" applyBorder="1" applyAlignment="1">
      <alignment vertical="center" wrapText="1"/>
    </xf>
    <xf numFmtId="0" fontId="12" fillId="0" borderId="0" xfId="0" applyFont="1" applyFill="1" applyBorder="1" applyAlignment="1">
      <alignment vertical="center" wrapText="1"/>
    </xf>
    <xf numFmtId="0" fontId="15" fillId="0" borderId="0" xfId="0" applyFont="1" applyFill="1" applyBorder="1" applyAlignment="1">
      <alignment vertical="center" wrapText="1"/>
    </xf>
    <xf numFmtId="166" fontId="15" fillId="0" borderId="0" xfId="0" applyNumberFormat="1" applyFont="1" applyFill="1" applyBorder="1" applyAlignment="1">
      <alignment vertical="center"/>
    </xf>
    <xf numFmtId="0" fontId="12" fillId="0" borderId="0" xfId="0" applyFont="1" applyFill="1" applyBorder="1" applyAlignment="1">
      <alignment horizontal="left" vertical="center" indent="2"/>
    </xf>
    <xf numFmtId="0" fontId="12" fillId="0" borderId="0" xfId="0" applyFont="1" applyFill="1" applyBorder="1" applyAlignment="1">
      <alignment horizontal="left" vertical="center" wrapText="1"/>
    </xf>
    <xf numFmtId="0" fontId="12" fillId="0" borderId="0" xfId="0" applyFont="1" applyFill="1" applyBorder="1" applyAlignment="1">
      <alignment horizontal="left" vertical="center"/>
    </xf>
    <xf numFmtId="0" fontId="15" fillId="0" borderId="0" xfId="0" applyFont="1" applyFill="1" applyBorder="1" applyAlignment="1">
      <alignment horizontal="left" vertical="center" wrapText="1"/>
    </xf>
    <xf numFmtId="0" fontId="12" fillId="0" borderId="0" xfId="0" applyFont="1" applyFill="1" applyBorder="1" applyAlignment="1">
      <alignment horizontal="left" wrapText="1" indent="1"/>
    </xf>
    <xf numFmtId="0" fontId="12" fillId="0" borderId="0" xfId="0" applyFont="1" applyFill="1" applyBorder="1" applyAlignment="1">
      <alignment horizontal="center"/>
    </xf>
    <xf numFmtId="0" fontId="15" fillId="0" borderId="0" xfId="0" applyFont="1" applyFill="1" applyBorder="1" applyAlignment="1">
      <alignment horizontal="center" vertical="center"/>
    </xf>
    <xf numFmtId="0" fontId="9" fillId="0" borderId="0" xfId="0" applyFont="1" applyFill="1" applyAlignment="1" applyProtection="1">
      <alignment horizontal="center" vertical="center"/>
    </xf>
    <xf numFmtId="0" fontId="15" fillId="0" borderId="4" xfId="0" applyFont="1" applyBorder="1"/>
    <xf numFmtId="167" fontId="12" fillId="0" borderId="0" xfId="0" applyNumberFormat="1" applyFont="1" applyBorder="1"/>
    <xf numFmtId="0" fontId="12" fillId="0" borderId="33" xfId="0" applyFont="1" applyBorder="1" applyAlignment="1">
      <alignment horizontal="right" vertical="center"/>
    </xf>
    <xf numFmtId="168" fontId="12" fillId="0" borderId="33" xfId="0" applyNumberFormat="1" applyFont="1" applyBorder="1" applyAlignment="1">
      <alignment horizontal="right" vertical="center"/>
    </xf>
    <xf numFmtId="168" fontId="12" fillId="0" borderId="0" xfId="0" applyNumberFormat="1" applyFont="1" applyBorder="1" applyAlignment="1">
      <alignment horizontal="right" vertical="center"/>
    </xf>
    <xf numFmtId="168" fontId="12" fillId="0" borderId="33" xfId="0" applyNumberFormat="1" applyFont="1" applyBorder="1"/>
    <xf numFmtId="168" fontId="12" fillId="0" borderId="0" xfId="0" applyNumberFormat="1" applyFont="1" applyBorder="1"/>
    <xf numFmtId="0" fontId="15" fillId="0" borderId="0" xfId="0" applyFont="1" applyFill="1" applyBorder="1" applyAlignment="1">
      <alignment horizontal="center" vertical="center"/>
    </xf>
    <xf numFmtId="0" fontId="12" fillId="0" borderId="0" xfId="0" applyFont="1" applyAlignment="1">
      <alignment horizontal="center"/>
    </xf>
    <xf numFmtId="0" fontId="0" fillId="0" borderId="0" xfId="0" applyBorder="1"/>
    <xf numFmtId="10" fontId="12" fillId="0" borderId="0" xfId="0" applyNumberFormat="1" applyFont="1" applyFill="1" applyBorder="1" applyAlignment="1">
      <alignment vertical="center"/>
    </xf>
    <xf numFmtId="168" fontId="15" fillId="3" borderId="0" xfId="2" applyNumberFormat="1" applyFont="1" applyFill="1" applyBorder="1" applyAlignment="1">
      <alignment horizontal="center"/>
    </xf>
    <xf numFmtId="168" fontId="12" fillId="0" borderId="0" xfId="2" applyNumberFormat="1" applyFont="1" applyBorder="1" applyAlignment="1">
      <alignment horizontal="center"/>
    </xf>
    <xf numFmtId="168" fontId="13" fillId="3" borderId="0" xfId="2" applyNumberFormat="1" applyFont="1" applyFill="1" applyBorder="1" applyAlignment="1">
      <alignment horizontal="center"/>
    </xf>
    <xf numFmtId="168" fontId="12" fillId="0" borderId="0" xfId="2" applyNumberFormat="1" applyFont="1" applyAlignment="1">
      <alignment horizontal="center"/>
    </xf>
    <xf numFmtId="168" fontId="15" fillId="3" borderId="4" xfId="2" applyNumberFormat="1" applyFont="1" applyFill="1" applyBorder="1" applyAlignment="1">
      <alignment horizontal="center"/>
    </xf>
    <xf numFmtId="166" fontId="12" fillId="0" borderId="0" xfId="0" applyNumberFormat="1" applyFont="1" applyFill="1" applyAlignment="1">
      <alignment horizontal="right"/>
    </xf>
    <xf numFmtId="9" fontId="12" fillId="0" borderId="0" xfId="2" applyFont="1" applyFill="1" applyAlignment="1">
      <alignment horizontal="right"/>
    </xf>
    <xf numFmtId="9" fontId="15" fillId="0" borderId="0" xfId="2" applyFont="1" applyFill="1" applyAlignment="1">
      <alignment horizontal="right"/>
    </xf>
    <xf numFmtId="0" fontId="12" fillId="0" borderId="0" xfId="0" applyFont="1" applyFill="1" applyAlignment="1">
      <alignment horizontal="right"/>
    </xf>
    <xf numFmtId="0" fontId="15" fillId="0" borderId="0" xfId="0" applyFont="1" applyFill="1" applyAlignment="1">
      <alignment horizontal="left" indent="1"/>
    </xf>
    <xf numFmtId="0" fontId="15" fillId="0" borderId="0" xfId="0" applyFont="1" applyFill="1" applyAlignment="1">
      <alignment horizontal="right"/>
    </xf>
    <xf numFmtId="166" fontId="15" fillId="0" borderId="10" xfId="0" applyNumberFormat="1" applyFont="1" applyFill="1" applyBorder="1"/>
    <xf numFmtId="166" fontId="12" fillId="0" borderId="5" xfId="0" applyNumberFormat="1" applyFont="1" applyFill="1" applyBorder="1"/>
    <xf numFmtId="167" fontId="12" fillId="0" borderId="2" xfId="0" applyNumberFormat="1" applyFont="1" applyFill="1" applyBorder="1"/>
    <xf numFmtId="167" fontId="12" fillId="0" borderId="0" xfId="0" applyNumberFormat="1" applyFont="1" applyFill="1"/>
    <xf numFmtId="167" fontId="12" fillId="0" borderId="0" xfId="0" applyNumberFormat="1" applyFont="1" applyFill="1" applyBorder="1" applyAlignment="1">
      <alignment vertical="center"/>
    </xf>
    <xf numFmtId="167" fontId="12" fillId="0" borderId="2" xfId="0" applyNumberFormat="1" applyFont="1" applyFill="1" applyBorder="1" applyAlignment="1">
      <alignment vertical="center"/>
    </xf>
    <xf numFmtId="0" fontId="14" fillId="0" borderId="0" xfId="0" applyFont="1" applyAlignment="1">
      <alignment vertical="center"/>
    </xf>
    <xf numFmtId="0" fontId="19" fillId="0" borderId="0" xfId="0" applyFont="1" applyFill="1" applyBorder="1" applyAlignment="1">
      <alignment vertical="center"/>
    </xf>
    <xf numFmtId="0" fontId="19" fillId="0" borderId="0" xfId="0" applyFont="1" applyFill="1" applyBorder="1" applyAlignment="1">
      <alignment vertical="center" wrapText="1"/>
    </xf>
    <xf numFmtId="0" fontId="12" fillId="0" borderId="0" xfId="0" applyFont="1" applyFill="1" applyBorder="1" applyAlignment="1">
      <alignment horizontal="left" vertical="center" indent="1"/>
    </xf>
    <xf numFmtId="0" fontId="12" fillId="0" borderId="0" xfId="0" applyFont="1" applyFill="1" applyBorder="1" applyAlignment="1">
      <alignment horizontal="left" indent="2"/>
    </xf>
    <xf numFmtId="0" fontId="21" fillId="0" borderId="0" xfId="0" applyFont="1" applyFill="1" applyBorder="1" applyAlignment="1">
      <alignment horizontal="left" vertical="center" indent="2"/>
    </xf>
    <xf numFmtId="0" fontId="21" fillId="0" borderId="0" xfId="0" applyFont="1" applyFill="1" applyBorder="1" applyAlignment="1">
      <alignment horizontal="left" vertical="center" wrapText="1" indent="2"/>
    </xf>
    <xf numFmtId="0" fontId="12" fillId="0" borderId="0" xfId="0" applyFont="1" applyFill="1" applyBorder="1" applyAlignment="1">
      <alignment horizontal="left" vertical="center" wrapText="1" indent="2"/>
    </xf>
    <xf numFmtId="0" fontId="12" fillId="0" borderId="0" xfId="0" applyFont="1" applyFill="1" applyBorder="1" applyAlignment="1">
      <alignment horizontal="left" indent="1"/>
    </xf>
    <xf numFmtId="0" fontId="19" fillId="0" borderId="0" xfId="0" applyFont="1" applyFill="1" applyBorder="1"/>
    <xf numFmtId="0" fontId="15" fillId="0" borderId="4" xfId="0" applyFont="1" applyFill="1" applyBorder="1" applyAlignment="1">
      <alignment vertical="center"/>
    </xf>
    <xf numFmtId="0" fontId="15" fillId="0" borderId="0" xfId="0" applyFont="1" applyFill="1" applyAlignment="1">
      <alignment horizontal="center"/>
    </xf>
    <xf numFmtId="166" fontId="26" fillId="0" borderId="0" xfId="0" applyNumberFormat="1" applyFont="1" applyFill="1" applyBorder="1"/>
    <xf numFmtId="166" fontId="12" fillId="0" borderId="2" xfId="0" applyNumberFormat="1" applyFont="1" applyFill="1" applyBorder="1"/>
    <xf numFmtId="166" fontId="27" fillId="0" borderId="2" xfId="0" applyNumberFormat="1" applyFont="1" applyFill="1" applyBorder="1"/>
    <xf numFmtId="0" fontId="13" fillId="0" borderId="0" xfId="0" applyFont="1" applyFill="1" applyAlignment="1">
      <alignment horizontal="left" wrapText="1"/>
    </xf>
    <xf numFmtId="166" fontId="28" fillId="0" borderId="0" xfId="0" applyNumberFormat="1" applyFont="1" applyFill="1" applyBorder="1"/>
    <xf numFmtId="166" fontId="26" fillId="0" borderId="3" xfId="0" applyNumberFormat="1" applyFont="1" applyFill="1" applyBorder="1"/>
    <xf numFmtId="166" fontId="27" fillId="0" borderId="0" xfId="0" applyNumberFormat="1" applyFont="1" applyFill="1" applyBorder="1"/>
    <xf numFmtId="167" fontId="15" fillId="0" borderId="4" xfId="0" applyNumberFormat="1" applyFont="1" applyFill="1" applyBorder="1"/>
    <xf numFmtId="167" fontId="26" fillId="0" borderId="4" xfId="0" applyNumberFormat="1" applyFont="1" applyFill="1" applyBorder="1"/>
    <xf numFmtId="0" fontId="39" fillId="0" borderId="0" xfId="10" applyFont="1" applyFill="1" applyAlignment="1" applyProtection="1"/>
    <xf numFmtId="0" fontId="36" fillId="0" borderId="0" xfId="0" applyFont="1" applyFill="1" applyAlignment="1"/>
    <xf numFmtId="0" fontId="42" fillId="0" borderId="0" xfId="0" applyFont="1"/>
    <xf numFmtId="170" fontId="12" fillId="0" borderId="0" xfId="0" applyNumberFormat="1" applyFont="1" applyFill="1"/>
    <xf numFmtId="1" fontId="12" fillId="0" borderId="0" xfId="0" applyNumberFormat="1" applyFont="1" applyFill="1"/>
    <xf numFmtId="168" fontId="12" fillId="0" borderId="0" xfId="2" applyNumberFormat="1" applyFont="1" applyFill="1"/>
    <xf numFmtId="0" fontId="43" fillId="0" borderId="0" xfId="0" applyFont="1"/>
    <xf numFmtId="170" fontId="12" fillId="0" borderId="0" xfId="0" applyNumberFormat="1" applyFont="1" applyFill="1" applyBorder="1" applyAlignment="1">
      <alignment vertical="center"/>
    </xf>
    <xf numFmtId="0" fontId="12" fillId="0" borderId="0" xfId="0" applyFont="1" applyBorder="1" applyAlignment="1">
      <alignment horizontal="left" indent="1"/>
    </xf>
    <xf numFmtId="0" fontId="15" fillId="0" borderId="0" xfId="0" applyFont="1" applyFill="1" applyBorder="1" applyAlignment="1">
      <alignment horizontal="left"/>
    </xf>
    <xf numFmtId="0" fontId="15" fillId="3" borderId="10" xfId="0" applyFont="1" applyFill="1" applyBorder="1"/>
    <xf numFmtId="0" fontId="15" fillId="0" borderId="0" xfId="0" applyFont="1" applyBorder="1" applyAlignment="1">
      <alignment wrapText="1"/>
    </xf>
    <xf numFmtId="0" fontId="12" fillId="0" borderId="0" xfId="0" applyFont="1" applyBorder="1" applyAlignment="1">
      <alignment horizontal="left" wrapText="1" indent="1"/>
    </xf>
    <xf numFmtId="0" fontId="12" fillId="0" borderId="0" xfId="0" applyFont="1" applyBorder="1" applyAlignment="1">
      <alignment wrapText="1"/>
    </xf>
    <xf numFmtId="9" fontId="15" fillId="0" borderId="0" xfId="2" applyFont="1" applyFill="1" applyBorder="1"/>
    <xf numFmtId="165" fontId="12" fillId="0" borderId="0" xfId="0" applyNumberFormat="1" applyFont="1" applyFill="1" applyBorder="1"/>
    <xf numFmtId="166" fontId="12" fillId="0" borderId="0" xfId="0" applyNumberFormat="1" applyFont="1" applyBorder="1" applyAlignment="1">
      <alignment horizontal="right" vertical="center"/>
    </xf>
    <xf numFmtId="9" fontId="31" fillId="0" borderId="0" xfId="2" applyFont="1" applyBorder="1"/>
    <xf numFmtId="0" fontId="43" fillId="0" borderId="0" xfId="0" applyFont="1" applyFill="1"/>
    <xf numFmtId="0" fontId="43" fillId="0" borderId="0" xfId="0" applyFont="1" applyFill="1" applyBorder="1"/>
    <xf numFmtId="0" fontId="12" fillId="0" borderId="0" xfId="0" applyFont="1" applyFill="1" applyBorder="1" applyAlignment="1">
      <alignment horizontal="left" vertical="center" wrapText="1" indent="1"/>
    </xf>
    <xf numFmtId="0" fontId="21" fillId="0" borderId="0" xfId="0" applyFont="1" applyFill="1" applyBorder="1" applyAlignment="1">
      <alignment horizontal="left" vertical="center" indent="1"/>
    </xf>
    <xf numFmtId="0" fontId="21" fillId="0" borderId="0" xfId="0" applyFont="1" applyFill="1" applyBorder="1" applyAlignment="1">
      <alignment horizontal="left" vertical="center" wrapText="1" indent="1"/>
    </xf>
    <xf numFmtId="0" fontId="17" fillId="0" borderId="0" xfId="0" applyFont="1" applyFill="1" applyAlignment="1"/>
    <xf numFmtId="0" fontId="0" fillId="3" borderId="0" xfId="0" applyFill="1"/>
    <xf numFmtId="167" fontId="12" fillId="0" borderId="4" xfId="0" applyNumberFormat="1" applyFont="1" applyFill="1" applyBorder="1"/>
    <xf numFmtId="0" fontId="15" fillId="0" borderId="0" xfId="0" applyFont="1" applyFill="1" applyAlignment="1"/>
    <xf numFmtId="0" fontId="23" fillId="0" borderId="0" xfId="0" applyFont="1" applyFill="1" applyBorder="1" applyAlignment="1">
      <alignment horizontal="center"/>
    </xf>
    <xf numFmtId="0" fontId="15" fillId="0" borderId="0" xfId="0" applyFont="1" applyFill="1" applyBorder="1" applyAlignment="1">
      <alignment horizontal="right"/>
    </xf>
    <xf numFmtId="167" fontId="15" fillId="0" borderId="0" xfId="0" applyNumberFormat="1" applyFont="1" applyFill="1" applyBorder="1"/>
    <xf numFmtId="167" fontId="15" fillId="0" borderId="3" xfId="0" applyNumberFormat="1" applyFont="1" applyFill="1" applyBorder="1"/>
    <xf numFmtId="167" fontId="15" fillId="0" borderId="34" xfId="0" applyNumberFormat="1" applyFont="1" applyFill="1" applyBorder="1"/>
    <xf numFmtId="167" fontId="26" fillId="0" borderId="0" xfId="0" applyNumberFormat="1" applyFont="1" applyFill="1" applyBorder="1"/>
    <xf numFmtId="0" fontId="15" fillId="3" borderId="0" xfId="0" applyFont="1" applyFill="1" applyBorder="1" applyAlignment="1">
      <alignment wrapText="1"/>
    </xf>
    <xf numFmtId="167" fontId="15" fillId="3" borderId="0" xfId="0" applyNumberFormat="1" applyFont="1" applyFill="1" applyBorder="1"/>
    <xf numFmtId="167" fontId="26" fillId="7" borderId="0" xfId="0" applyNumberFormat="1" applyFont="1" applyFill="1" applyBorder="1"/>
    <xf numFmtId="0" fontId="15" fillId="0" borderId="0" xfId="0" applyFont="1" applyFill="1" applyAlignment="1">
      <alignment horizontal="left"/>
    </xf>
    <xf numFmtId="0" fontId="0" fillId="0" borderId="4" xfId="0" applyBorder="1"/>
    <xf numFmtId="0" fontId="0" fillId="0" borderId="12" xfId="0" applyBorder="1"/>
    <xf numFmtId="0" fontId="0" fillId="0" borderId="2" xfId="0" applyBorder="1"/>
    <xf numFmtId="0" fontId="46" fillId="0" borderId="0" xfId="0" applyFont="1"/>
    <xf numFmtId="0" fontId="12" fillId="0" borderId="4" xfId="0" applyFont="1" applyBorder="1"/>
    <xf numFmtId="168" fontId="15" fillId="3" borderId="0" xfId="0" applyNumberFormat="1" applyFont="1" applyFill="1"/>
    <xf numFmtId="168" fontId="13" fillId="3" borderId="0" xfId="0" applyNumberFormat="1" applyFont="1" applyFill="1"/>
    <xf numFmtId="168" fontId="15" fillId="3" borderId="3" xfId="0" applyNumberFormat="1" applyFont="1" applyFill="1" applyBorder="1"/>
    <xf numFmtId="168" fontId="15" fillId="3" borderId="4" xfId="0" applyNumberFormat="1" applyFont="1" applyFill="1" applyBorder="1"/>
    <xf numFmtId="168" fontId="12" fillId="0" borderId="2" xfId="0" applyNumberFormat="1" applyFont="1" applyFill="1" applyBorder="1"/>
    <xf numFmtId="168" fontId="12" fillId="0" borderId="15" xfId="0" applyNumberFormat="1" applyFont="1" applyFill="1" applyBorder="1"/>
    <xf numFmtId="168" fontId="12" fillId="0" borderId="0" xfId="0" applyNumberFormat="1" applyFont="1" applyFill="1"/>
    <xf numFmtId="167" fontId="27" fillId="8" borderId="2" xfId="0" applyNumberFormat="1" applyFont="1" applyFill="1" applyBorder="1"/>
    <xf numFmtId="167" fontId="27" fillId="8" borderId="0" xfId="0" applyNumberFormat="1" applyFont="1" applyFill="1" applyBorder="1"/>
    <xf numFmtId="166" fontId="27" fillId="8" borderId="5" xfId="0" applyNumberFormat="1" applyFont="1" applyFill="1" applyBorder="1"/>
    <xf numFmtId="166" fontId="26" fillId="7" borderId="34" xfId="0" applyNumberFormat="1" applyFont="1" applyFill="1" applyBorder="1"/>
    <xf numFmtId="0" fontId="3" fillId="12" borderId="1" xfId="63" applyBorder="1" applyAlignment="1">
      <alignment horizontal="center"/>
    </xf>
    <xf numFmtId="166" fontId="3" fillId="12" borderId="1" xfId="63" applyNumberFormat="1" applyBorder="1"/>
    <xf numFmtId="166" fontId="3" fillId="12" borderId="18" xfId="63" applyNumberFormat="1" applyBorder="1"/>
    <xf numFmtId="166" fontId="3" fillId="12" borderId="19" xfId="63" applyNumberFormat="1" applyBorder="1"/>
    <xf numFmtId="166" fontId="3" fillId="12" borderId="20" xfId="63" applyNumberFormat="1" applyBorder="1"/>
    <xf numFmtId="167" fontId="3" fillId="12" borderId="30" xfId="63" applyNumberFormat="1" applyBorder="1"/>
    <xf numFmtId="166" fontId="3" fillId="12" borderId="7" xfId="63" applyNumberFormat="1" applyBorder="1"/>
    <xf numFmtId="9" fontId="3" fillId="12" borderId="1" xfId="63" applyNumberFormat="1" applyBorder="1"/>
    <xf numFmtId="0" fontId="3" fillId="12" borderId="1" xfId="63" applyBorder="1"/>
    <xf numFmtId="6" fontId="3" fillId="12" borderId="1" xfId="63" applyNumberFormat="1" applyBorder="1"/>
    <xf numFmtId="168" fontId="3" fillId="12" borderId="1" xfId="63" applyNumberFormat="1" applyBorder="1"/>
    <xf numFmtId="170" fontId="3" fillId="12" borderId="1" xfId="63" applyNumberFormat="1" applyBorder="1"/>
    <xf numFmtId="0" fontId="3" fillId="12" borderId="0" xfId="63"/>
    <xf numFmtId="10" fontId="3" fillId="12" borderId="1" xfId="63" applyNumberFormat="1" applyBorder="1"/>
    <xf numFmtId="8" fontId="3" fillId="12" borderId="1" xfId="63" applyNumberFormat="1" applyBorder="1"/>
    <xf numFmtId="0" fontId="12" fillId="0" borderId="0" xfId="0" applyFont="1" applyProtection="1">
      <protection locked="0"/>
    </xf>
    <xf numFmtId="0" fontId="15" fillId="0" borderId="4" xfId="0" applyFont="1" applyBorder="1" applyProtection="1">
      <protection locked="0"/>
    </xf>
    <xf numFmtId="0" fontId="47" fillId="13" borderId="0" xfId="0" applyFont="1" applyFill="1" applyAlignment="1" applyProtection="1">
      <alignment horizontal="center"/>
      <protection locked="0"/>
    </xf>
    <xf numFmtId="166" fontId="12" fillId="0" borderId="0" xfId="0" applyNumberFormat="1" applyFont="1" applyFill="1" applyBorder="1" applyAlignment="1">
      <alignment horizontal="right" vertical="center"/>
    </xf>
    <xf numFmtId="0" fontId="18" fillId="2" borderId="22" xfId="3" applyFont="1" applyBorder="1" applyAlignment="1">
      <alignment horizontal="center"/>
    </xf>
    <xf numFmtId="0" fontId="18" fillId="2" borderId="23" xfId="3" applyFont="1" applyBorder="1" applyAlignment="1">
      <alignment horizontal="center"/>
    </xf>
    <xf numFmtId="0" fontId="18" fillId="2" borderId="24" xfId="3" applyFont="1" applyBorder="1" applyAlignment="1">
      <alignment horizontal="center"/>
    </xf>
    <xf numFmtId="0" fontId="18" fillId="2" borderId="7" xfId="3" applyFont="1" applyBorder="1" applyAlignment="1">
      <alignment horizontal="center"/>
    </xf>
    <xf numFmtId="0" fontId="18" fillId="2" borderId="16" xfId="3" applyFont="1" applyBorder="1" applyAlignment="1">
      <alignment horizontal="center"/>
    </xf>
    <xf numFmtId="0" fontId="18" fillId="2" borderId="8" xfId="3" applyFont="1" applyBorder="1" applyAlignment="1">
      <alignment horizontal="center"/>
    </xf>
    <xf numFmtId="166" fontId="18" fillId="2" borderId="22" xfId="3" applyNumberFormat="1" applyFont="1" applyBorder="1" applyAlignment="1">
      <alignment horizontal="center"/>
    </xf>
    <xf numFmtId="166" fontId="18" fillId="2" borderId="24" xfId="3" applyNumberFormat="1" applyFont="1" applyBorder="1" applyAlignment="1">
      <alignment horizontal="center"/>
    </xf>
    <xf numFmtId="0" fontId="15" fillId="0" borderId="10" xfId="0" applyFont="1" applyBorder="1" applyAlignment="1">
      <alignment horizontal="center"/>
    </xf>
    <xf numFmtId="0" fontId="18" fillId="2" borderId="25" xfId="3" applyFont="1" applyBorder="1" applyAlignment="1">
      <alignment horizontal="center"/>
    </xf>
    <xf numFmtId="0" fontId="18" fillId="2" borderId="26" xfId="3" applyFont="1" applyBorder="1" applyAlignment="1">
      <alignment horizontal="center"/>
    </xf>
    <xf numFmtId="0" fontId="18" fillId="2" borderId="27" xfId="3" applyFont="1" applyBorder="1" applyAlignment="1">
      <alignment horizontal="center"/>
    </xf>
    <xf numFmtId="166" fontId="18" fillId="2" borderId="7" xfId="3" applyNumberFormat="1" applyFont="1" applyBorder="1" applyAlignment="1">
      <alignment horizontal="center"/>
    </xf>
    <xf numFmtId="166" fontId="18" fillId="2" borderId="8" xfId="3" applyNumberFormat="1" applyFont="1" applyBorder="1" applyAlignment="1">
      <alignment horizontal="center"/>
    </xf>
    <xf numFmtId="0" fontId="15" fillId="3" borderId="9" xfId="0" applyFont="1" applyFill="1" applyBorder="1" applyAlignment="1">
      <alignment horizontal="center"/>
    </xf>
    <xf numFmtId="0" fontId="15" fillId="3" borderId="10" xfId="0" applyFont="1" applyFill="1" applyBorder="1" applyAlignment="1">
      <alignment horizontal="center"/>
    </xf>
    <xf numFmtId="0" fontId="15" fillId="3" borderId="11" xfId="0" applyFont="1" applyFill="1" applyBorder="1" applyAlignment="1">
      <alignment horizontal="center"/>
    </xf>
    <xf numFmtId="0" fontId="14" fillId="3" borderId="14" xfId="0" applyFont="1" applyFill="1" applyBorder="1" applyAlignment="1">
      <alignment horizontal="center"/>
    </xf>
    <xf numFmtId="0" fontId="14" fillId="3" borderId="0" xfId="0" applyFont="1" applyFill="1" applyBorder="1" applyAlignment="1">
      <alignment horizontal="center"/>
    </xf>
    <xf numFmtId="0" fontId="14" fillId="3" borderId="6" xfId="0" applyFont="1" applyFill="1" applyBorder="1" applyAlignment="1">
      <alignment horizontal="center"/>
    </xf>
    <xf numFmtId="0" fontId="15" fillId="0" borderId="2" xfId="0" applyFont="1" applyBorder="1" applyAlignment="1">
      <alignment horizontal="center"/>
    </xf>
    <xf numFmtId="0" fontId="13" fillId="0" borderId="9" xfId="0" applyFont="1" applyBorder="1" applyAlignment="1">
      <alignment horizontal="center"/>
    </xf>
    <xf numFmtId="0" fontId="13" fillId="0" borderId="10" xfId="0" applyFont="1" applyBorder="1" applyAlignment="1">
      <alignment horizontal="center"/>
    </xf>
    <xf numFmtId="0" fontId="13" fillId="0" borderId="11" xfId="0" applyFont="1" applyBorder="1" applyAlignment="1">
      <alignment horizontal="center"/>
    </xf>
    <xf numFmtId="0" fontId="18" fillId="2" borderId="28" xfId="3" applyFont="1" applyBorder="1" applyAlignment="1">
      <alignment horizontal="center"/>
    </xf>
    <xf numFmtId="0" fontId="18" fillId="2" borderId="0" xfId="3" applyFont="1" applyBorder="1" applyAlignment="1">
      <alignment horizontal="center"/>
    </xf>
    <xf numFmtId="0" fontId="18" fillId="2" borderId="29" xfId="3" applyFont="1" applyBorder="1" applyAlignment="1">
      <alignment horizontal="center"/>
    </xf>
    <xf numFmtId="0" fontId="34" fillId="0" borderId="0" xfId="10" applyFont="1" applyFill="1" applyAlignment="1" applyProtection="1">
      <alignment horizontal="center"/>
      <protection locked="0"/>
    </xf>
    <xf numFmtId="0" fontId="33" fillId="0" borderId="0" xfId="10" applyFont="1" applyFill="1" applyAlignment="1" applyProtection="1">
      <alignment horizontal="center"/>
    </xf>
    <xf numFmtId="0" fontId="9" fillId="4" borderId="0" xfId="0" applyFont="1" applyFill="1" applyAlignment="1" applyProtection="1">
      <alignment horizontal="center"/>
    </xf>
    <xf numFmtId="0" fontId="23" fillId="0" borderId="0" xfId="0" applyFont="1" applyFill="1" applyBorder="1" applyAlignment="1">
      <alignment horizontal="left"/>
    </xf>
    <xf numFmtId="0" fontId="15" fillId="0" borderId="0" xfId="0" applyFont="1" applyFill="1" applyAlignment="1">
      <alignment horizontal="center"/>
    </xf>
    <xf numFmtId="0" fontId="9" fillId="4" borderId="0" xfId="10" applyFont="1" applyFill="1" applyAlignment="1" applyProtection="1">
      <alignment horizontal="center"/>
    </xf>
    <xf numFmtId="0" fontId="17" fillId="0" borderId="0" xfId="0" applyFont="1" applyFill="1" applyAlignment="1">
      <alignment horizontal="center"/>
    </xf>
    <xf numFmtId="0" fontId="40" fillId="0" borderId="0" xfId="0" applyFont="1" applyFill="1" applyBorder="1" applyAlignment="1">
      <alignment horizontal="center" vertical="center"/>
    </xf>
    <xf numFmtId="0" fontId="41" fillId="0" borderId="0" xfId="0" applyFont="1" applyFill="1" applyBorder="1" applyAlignment="1">
      <alignment horizontal="center" vertical="center"/>
    </xf>
    <xf numFmtId="0" fontId="34" fillId="0" borderId="0" xfId="0" applyFont="1" applyAlignment="1" applyProtection="1">
      <alignment horizontal="center"/>
      <protection locked="0"/>
    </xf>
    <xf numFmtId="0" fontId="9" fillId="4" borderId="0" xfId="0" applyFont="1" applyFill="1" applyAlignment="1" applyProtection="1">
      <alignment horizontal="center" vertical="center"/>
    </xf>
    <xf numFmtId="0" fontId="15" fillId="0" borderId="0" xfId="0" applyFont="1" applyAlignment="1">
      <alignment horizontal="center"/>
    </xf>
    <xf numFmtId="0" fontId="38" fillId="0" borderId="0" xfId="0" applyFont="1" applyAlignment="1">
      <alignment horizontal="center"/>
    </xf>
    <xf numFmtId="0" fontId="12" fillId="0" borderId="0" xfId="0" applyFont="1" applyAlignment="1">
      <alignment horizontal="center"/>
    </xf>
    <xf numFmtId="0" fontId="24" fillId="4" borderId="0" xfId="0" applyFont="1" applyFill="1" applyAlignment="1" applyProtection="1">
      <alignment horizontal="center"/>
    </xf>
    <xf numFmtId="0" fontId="15" fillId="0" borderId="0" xfId="0" applyFont="1" applyFill="1" applyBorder="1" applyAlignment="1">
      <alignment horizontal="left"/>
    </xf>
    <xf numFmtId="0" fontId="39" fillId="0" borderId="0" xfId="10" applyFont="1" applyFill="1" applyAlignment="1" applyProtection="1">
      <alignment horizontal="center"/>
    </xf>
    <xf numFmtId="0" fontId="24" fillId="4" borderId="33" xfId="0" applyFont="1" applyFill="1" applyBorder="1" applyAlignment="1" applyProtection="1">
      <alignment horizontal="center"/>
    </xf>
    <xf numFmtId="0" fontId="15" fillId="0" borderId="0" xfId="0" applyFont="1" applyFill="1" applyAlignment="1">
      <alignment horizontal="left"/>
    </xf>
    <xf numFmtId="0" fontId="24" fillId="4" borderId="0" xfId="0" applyFont="1" applyFill="1" applyAlignment="1" applyProtection="1">
      <alignment horizontal="center" wrapText="1"/>
    </xf>
    <xf numFmtId="0" fontId="45" fillId="0" borderId="0" xfId="10" applyFont="1" applyFill="1" applyAlignment="1" applyProtection="1">
      <alignment horizontal="center"/>
      <protection locked="0"/>
    </xf>
    <xf numFmtId="0" fontId="44" fillId="0" borderId="0" xfId="10" applyFont="1" applyFill="1" applyAlignment="1" applyProtection="1">
      <alignment horizontal="center"/>
    </xf>
    <xf numFmtId="0" fontId="15" fillId="8" borderId="0" xfId="0" applyFont="1" applyFill="1" applyAlignment="1">
      <alignment horizontal="left"/>
    </xf>
    <xf numFmtId="0" fontId="10" fillId="9" borderId="0" xfId="10" applyFont="1" applyFill="1" applyAlignment="1" applyProtection="1">
      <alignment horizontal="center"/>
      <protection locked="0"/>
    </xf>
    <xf numFmtId="0" fontId="11" fillId="10" borderId="0" xfId="10" applyFont="1" applyFill="1" applyAlignment="1" applyProtection="1">
      <alignment horizontal="center"/>
    </xf>
    <xf numFmtId="0" fontId="45" fillId="5" borderId="0" xfId="10" applyFont="1" applyFill="1" applyAlignment="1" applyProtection="1">
      <alignment horizontal="center"/>
      <protection locked="0"/>
    </xf>
    <xf numFmtId="0" fontId="39" fillId="6" borderId="0" xfId="10" applyFont="1" applyFill="1" applyAlignment="1" applyProtection="1">
      <alignment horizontal="center"/>
    </xf>
    <xf numFmtId="0" fontId="15" fillId="0" borderId="0" xfId="0" applyFont="1" applyAlignment="1">
      <alignment horizontal="left"/>
    </xf>
  </cellXfs>
  <cellStyles count="64">
    <cellStyle name="20% - Accent1" xfId="63" builtinId="30"/>
    <cellStyle name="Calculation" xfId="3" builtinId="22"/>
    <cellStyle name="Comma 2" xfId="8"/>
    <cellStyle name="Currency 2" xfId="9"/>
    <cellStyle name="Explanatory Text" xfId="1" builtinId="53"/>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Hyperlink" xfId="11" builtinId="8"/>
    <cellStyle name="Normal" xfId="0" builtinId="0"/>
    <cellStyle name="Normal 10" xfId="6"/>
    <cellStyle name="Normal 2" xfId="10"/>
    <cellStyle name="Normal 2 9 2" xfId="4"/>
    <cellStyle name="Normal 3" xfId="5"/>
    <cellStyle name="Normal 3 3" xfId="7"/>
    <cellStyle name="Percent" xfId="2" builtinId="5"/>
  </cellStyles>
  <dxfs count="4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170180</xdr:colOff>
      <xdr:row>12</xdr:row>
      <xdr:rowOff>48260</xdr:rowOff>
    </xdr:from>
    <xdr:to>
      <xdr:col>12</xdr:col>
      <xdr:colOff>147320</xdr:colOff>
      <xdr:row>17</xdr:row>
      <xdr:rowOff>101600</xdr:rowOff>
    </xdr:to>
    <xdr:sp macro="" textlink="">
      <xdr:nvSpPr>
        <xdr:cNvPr id="2" name="TextBox 1"/>
        <xdr:cNvSpPr txBox="1"/>
      </xdr:nvSpPr>
      <xdr:spPr>
        <a:xfrm>
          <a:off x="5427980" y="1838960"/>
          <a:ext cx="4384040" cy="878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a:t>
          </a:r>
        </a:p>
        <a:p>
          <a:r>
            <a:rPr lang="en-US" sz="1100" b="1"/>
            <a:t>Enter or change values</a:t>
          </a:r>
          <a:r>
            <a:rPr lang="en-US" sz="1100" b="1" baseline="0"/>
            <a:t> in each of the Orange Input Fields, then view the results on the respective statement tabs.</a:t>
          </a:r>
        </a:p>
        <a:p>
          <a:endParaRPr lang="en-US" sz="1100" baseline="0"/>
        </a:p>
        <a:p>
          <a:r>
            <a:rPr lang="en-US" sz="1100" baseline="0"/>
            <a:t>The Year fields will update the years throughout the different tabs.</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218440</xdr:colOff>
      <xdr:row>0</xdr:row>
      <xdr:rowOff>116840</xdr:rowOff>
    </xdr:from>
    <xdr:to>
      <xdr:col>15</xdr:col>
      <xdr:colOff>139700</xdr:colOff>
      <xdr:row>14</xdr:row>
      <xdr:rowOff>76200</xdr:rowOff>
    </xdr:to>
    <xdr:sp macro="" textlink="">
      <xdr:nvSpPr>
        <xdr:cNvPr id="2" name="TextBox 1"/>
        <xdr:cNvSpPr txBox="1"/>
      </xdr:nvSpPr>
      <xdr:spPr>
        <a:xfrm>
          <a:off x="4820920" y="116840"/>
          <a:ext cx="5514340" cy="2329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a:t>
          </a:r>
        </a:p>
        <a:p>
          <a:r>
            <a:rPr lang="en-US" sz="1100" b="1" i="0" u="none" strike="noStrike">
              <a:solidFill>
                <a:schemeClr val="dk1"/>
              </a:solidFill>
              <a:effectLst/>
              <a:latin typeface="Times New Roman" panose="02020603050405020304" pitchFamily="18" charset="0"/>
              <a:ea typeface="+mn-ea"/>
              <a:cs typeface="Times New Roman" panose="02020603050405020304" pitchFamily="18" charset="0"/>
            </a:rPr>
            <a:t>Do</a:t>
          </a:r>
          <a:r>
            <a:rPr lang="en-US" sz="1100" b="1" i="0" u="none" strike="noStrike" baseline="0">
              <a:solidFill>
                <a:schemeClr val="dk1"/>
              </a:solidFill>
              <a:effectLst/>
              <a:latin typeface="Times New Roman" panose="02020603050405020304" pitchFamily="18" charset="0"/>
              <a:ea typeface="+mn-ea"/>
              <a:cs typeface="Times New Roman" panose="02020603050405020304" pitchFamily="18" charset="0"/>
            </a:rPr>
            <a:t> not change any values on this page. Use the IncomeInputs Tab to make changes.</a:t>
          </a:r>
          <a:endParaRPr lang="en-US" sz="1100" b="1" i="0" u="none" strike="noStrike">
            <a:solidFill>
              <a:schemeClr val="dk1"/>
            </a:solidFill>
            <a:effectLst/>
            <a:latin typeface="Times New Roman" panose="02020603050405020304" pitchFamily="18" charset="0"/>
            <a:ea typeface="+mn-ea"/>
            <a:cs typeface="Times New Roman" panose="02020603050405020304" pitchFamily="18" charset="0"/>
          </a:endParaRPr>
        </a:p>
        <a:p>
          <a:endParaRPr lang="en-US" sz="1100" b="0" i="1" u="none" strike="noStrike">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Com-Size: Common-Size Income Statement</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EBIT: Earnings Before Interest and Taxes</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SG&amp;A: Selling and General Administrative Expenses</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CY: Current Year</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PY: Prior Year</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PP&amp;E: Property, Plant, &amp; Equipment (from Balance Sheets)</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LTD: Long-Term Debt (from Balance Sheets)</a:t>
          </a:r>
          <a:r>
            <a:rPr lang="en-US">
              <a:latin typeface="Times New Roman" panose="02020603050405020304" pitchFamily="18" charset="0"/>
              <a:cs typeface="Times New Roman" panose="02020603050405020304" pitchFamily="18" charset="0"/>
            </a:rPr>
            <a:t> </a:t>
          </a:r>
        </a:p>
        <a:p>
          <a:endParaRPr lang="en-US" sz="1100">
            <a:latin typeface="Times New Roman" panose="02020603050405020304" pitchFamily="18" charset="0"/>
            <a:cs typeface="Times New Roman" panose="02020603050405020304" pitchFamily="18" charset="0"/>
          </a:endParaRPr>
        </a:p>
        <a:p>
          <a:r>
            <a:rPr lang="en-US" sz="1100">
              <a:latin typeface="Times New Roman" panose="02020603050405020304" pitchFamily="18" charset="0"/>
              <a:cs typeface="Times New Roman" panose="02020603050405020304" pitchFamily="18" charset="0"/>
            </a:rPr>
            <a:t>EBITDA Not official GAAP measure but commonly used in practice as profitability metric.</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162560</xdr:colOff>
      <xdr:row>0</xdr:row>
      <xdr:rowOff>99060</xdr:rowOff>
    </xdr:from>
    <xdr:to>
      <xdr:col>17</xdr:col>
      <xdr:colOff>279400</xdr:colOff>
      <xdr:row>7</xdr:row>
      <xdr:rowOff>205740</xdr:rowOff>
    </xdr:to>
    <xdr:sp macro="" textlink="">
      <xdr:nvSpPr>
        <xdr:cNvPr id="2" name="TextBox 1"/>
        <xdr:cNvSpPr txBox="1"/>
      </xdr:nvSpPr>
      <xdr:spPr>
        <a:xfrm>
          <a:off x="6395720" y="99060"/>
          <a:ext cx="4490720"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 </a:t>
          </a:r>
        </a:p>
        <a:p>
          <a:r>
            <a:rPr lang="en-US" sz="1100" b="1" i="0" u="none" strike="noStrike">
              <a:solidFill>
                <a:schemeClr val="dk1"/>
              </a:solidFill>
              <a:effectLst/>
              <a:latin typeface="Times New Roman" panose="02020603050405020304" pitchFamily="18" charset="0"/>
              <a:ea typeface="+mn-ea"/>
              <a:cs typeface="Times New Roman" panose="02020603050405020304" pitchFamily="18" charset="0"/>
            </a:rPr>
            <a:t>Do not change any values on this tab.</a:t>
          </a:r>
          <a:r>
            <a:rPr lang="en-US" sz="1100" b="1" i="0" u="none" strike="noStrike" baseline="0">
              <a:solidFill>
                <a:schemeClr val="dk1"/>
              </a:solidFill>
              <a:effectLst/>
              <a:latin typeface="Times New Roman" panose="02020603050405020304" pitchFamily="18" charset="0"/>
              <a:ea typeface="+mn-ea"/>
              <a:cs typeface="Times New Roman" panose="02020603050405020304" pitchFamily="18" charset="0"/>
            </a:rPr>
            <a:t> Use the BalanceInputs Tab to make any changes.</a:t>
          </a:r>
          <a:endParaRPr lang="en-US" sz="1100" b="1" i="0" u="none" strike="noStrike">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a:solidFill>
              <a:schemeClr val="dk1"/>
            </a:solidFill>
            <a:effectLst/>
            <a:latin typeface="Times New Roman" panose="02020603050405020304" pitchFamily="18" charset="0"/>
            <a:ea typeface="+mn-ea"/>
            <a:cs typeface="Times New Roman" panose="02020603050405020304" pitchFamily="18" charset="0"/>
          </a:endParaRPr>
        </a:p>
        <a:p>
          <a:r>
            <a:rPr lang="en-US" sz="1100">
              <a:latin typeface="Times New Roman" panose="02020603050405020304" pitchFamily="18" charset="0"/>
              <a:cs typeface="Times New Roman" panose="02020603050405020304" pitchFamily="18" charset="0"/>
            </a:rPr>
            <a:t>Balance Check field verifies that the Total Assets is equal to the Total Liabilities and Shareholders' Equity fields and it turns Red and says Error if it doesn't balance.</a:t>
          </a:r>
        </a:p>
        <a:p>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152400</xdr:colOff>
      <xdr:row>0</xdr:row>
      <xdr:rowOff>63500</xdr:rowOff>
    </xdr:from>
    <xdr:to>
      <xdr:col>19</xdr:col>
      <xdr:colOff>165100</xdr:colOff>
      <xdr:row>17</xdr:row>
      <xdr:rowOff>7620</xdr:rowOff>
    </xdr:to>
    <xdr:sp macro="" textlink="">
      <xdr:nvSpPr>
        <xdr:cNvPr id="2" name="TextBox 1"/>
        <xdr:cNvSpPr txBox="1"/>
      </xdr:nvSpPr>
      <xdr:spPr>
        <a:xfrm>
          <a:off x="6355080" y="63500"/>
          <a:ext cx="6261100" cy="31521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a:t>
          </a:r>
        </a:p>
        <a:p>
          <a:r>
            <a:rPr lang="en-US" sz="1100" b="1" i="0" u="none" strike="noStrike">
              <a:solidFill>
                <a:schemeClr val="dk1"/>
              </a:solidFill>
              <a:effectLst/>
              <a:latin typeface="+mn-lt"/>
              <a:ea typeface="+mn-ea"/>
              <a:cs typeface="+mn-cs"/>
            </a:rPr>
            <a:t>Do not make any changes on this tab.</a:t>
          </a:r>
          <a:r>
            <a:rPr lang="en-US" sz="1100" b="1" i="0" u="none" strike="noStrike" baseline="0">
              <a:solidFill>
                <a:schemeClr val="dk1"/>
              </a:solidFill>
              <a:effectLst/>
              <a:latin typeface="+mn-lt"/>
              <a:ea typeface="+mn-ea"/>
              <a:cs typeface="+mn-cs"/>
            </a:rPr>
            <a:t> Change  either the CashFlowInputs Tab or the inputs tabs for the IncomeInputs or BalanceInputs tabs to change this data.</a:t>
          </a:r>
          <a:endParaRPr lang="en-US" sz="1100" b="1" i="0" u="none" strike="noStrike">
            <a:solidFill>
              <a:schemeClr val="dk1"/>
            </a:solidFill>
            <a:effectLst/>
            <a:latin typeface="+mn-lt"/>
            <a:ea typeface="+mn-ea"/>
            <a:cs typeface="+mn-cs"/>
          </a:endParaRP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The Check Sum Checks </a:t>
          </a:r>
          <a:r>
            <a:rPr lang="en-US" sz="1100" b="0" i="1" u="none" strike="noStrike">
              <a:solidFill>
                <a:schemeClr val="dk1"/>
              </a:solidFill>
              <a:effectLst/>
              <a:latin typeface="+mn-lt"/>
              <a:ea typeface="+mn-ea"/>
              <a:cs typeface="+mn-cs"/>
            </a:rPr>
            <a:t>Ending Cash</a:t>
          </a:r>
          <a:r>
            <a:rPr lang="en-US" sz="1100" b="0" i="0" u="none" strike="noStrike">
              <a:solidFill>
                <a:schemeClr val="dk1"/>
              </a:solidFill>
              <a:effectLst/>
              <a:latin typeface="+mn-lt"/>
              <a:ea typeface="+mn-ea"/>
              <a:cs typeface="+mn-cs"/>
            </a:rPr>
            <a:t> against </a:t>
          </a:r>
          <a:r>
            <a:rPr lang="en-US" sz="1100" b="0" i="1" u="none" strike="noStrike">
              <a:solidFill>
                <a:schemeClr val="dk1"/>
              </a:solidFill>
              <a:effectLst/>
              <a:latin typeface="+mn-lt"/>
              <a:ea typeface="+mn-ea"/>
              <a:cs typeface="+mn-cs"/>
            </a:rPr>
            <a:t>Cash</a:t>
          </a:r>
          <a:r>
            <a:rPr lang="en-US" sz="1100" b="0" i="0" u="none" strike="noStrike">
              <a:solidFill>
                <a:schemeClr val="dk1"/>
              </a:solidFill>
              <a:effectLst/>
              <a:latin typeface="+mn-lt"/>
              <a:ea typeface="+mn-ea"/>
              <a:cs typeface="+mn-cs"/>
            </a:rPr>
            <a:t> on the Balance Sheet for that Year and Should be OK and not in Error. To get this to balance, change various CashFlowInputs values until it balances.</a:t>
          </a:r>
          <a:r>
            <a:rPr lang="en-US"/>
            <a:t> Note that</a:t>
          </a:r>
          <a:r>
            <a:rPr lang="en-US" baseline="0"/>
            <a:t> the inputs on that page are a simplification of the real statements of cash flow, which have more variables such as bad debt expense and so on, but these statements are simplified and omit many of these considerations.</a:t>
          </a:r>
          <a:r>
            <a:rPr lang="en-US" sz="1100" b="0" i="0" u="none" strike="noStrike">
              <a:solidFill>
                <a:schemeClr val="dk1"/>
              </a:solidFill>
              <a:effectLst/>
              <a:latin typeface="+mn-lt"/>
              <a:ea typeface="+mn-ea"/>
              <a:cs typeface="+mn-cs"/>
            </a:rPr>
            <a:t>The Check Sum Checks </a:t>
          </a:r>
          <a:r>
            <a:rPr lang="en-US" sz="1100" b="0" i="1" u="none" strike="noStrike">
              <a:solidFill>
                <a:schemeClr val="dk1"/>
              </a:solidFill>
              <a:effectLst/>
              <a:latin typeface="+mn-lt"/>
              <a:ea typeface="+mn-ea"/>
              <a:cs typeface="+mn-cs"/>
            </a:rPr>
            <a:t>Ending Cash</a:t>
          </a:r>
          <a:r>
            <a:rPr lang="en-US" sz="1100" b="0" i="0" u="none" strike="noStrike">
              <a:solidFill>
                <a:schemeClr val="dk1"/>
              </a:solidFill>
              <a:effectLst/>
              <a:latin typeface="+mn-lt"/>
              <a:ea typeface="+mn-ea"/>
              <a:cs typeface="+mn-cs"/>
            </a:rPr>
            <a:t> against </a:t>
          </a:r>
          <a:r>
            <a:rPr lang="en-US" sz="1100" b="0" i="1" u="none" strike="noStrike">
              <a:solidFill>
                <a:schemeClr val="dk1"/>
              </a:solidFill>
              <a:effectLst/>
              <a:latin typeface="+mn-lt"/>
              <a:ea typeface="+mn-ea"/>
              <a:cs typeface="+mn-cs"/>
            </a:rPr>
            <a:t>Cash</a:t>
          </a:r>
          <a:r>
            <a:rPr lang="en-US" sz="1100" b="0" i="0" u="none" strike="noStrike">
              <a:solidFill>
                <a:schemeClr val="dk1"/>
              </a:solidFill>
              <a:effectLst/>
              <a:latin typeface="+mn-lt"/>
              <a:ea typeface="+mn-ea"/>
              <a:cs typeface="+mn-cs"/>
            </a:rPr>
            <a:t> on the Balance Sheet for that Year and Should be OK and not in Error. To get this to balance, change various values on the CashFlowInputs tab</a:t>
          </a:r>
          <a:r>
            <a:rPr lang="en-US" sz="1100" b="0" i="0" u="none" strike="noStrike" baseline="0">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until it balances.</a:t>
          </a:r>
          <a:r>
            <a:rPr lang="en-US"/>
            <a:t> </a:t>
          </a:r>
        </a:p>
        <a:p>
          <a:endParaRPr lang="en-US"/>
        </a:p>
        <a:p>
          <a:r>
            <a:rPr lang="en-US" sz="1100"/>
            <a:t>CashFlowInputs refers to the the</a:t>
          </a:r>
          <a:r>
            <a:rPr lang="en-US" sz="1100" baseline="0"/>
            <a:t> CashFlowInputs tab. This information would be available from supporting schedules or the organization's other accounting information.</a:t>
          </a:r>
        </a:p>
        <a:p>
          <a:endParaRPr lang="en-US" sz="1100"/>
        </a:p>
        <a:p>
          <a:r>
            <a:rPr lang="en-US" sz="1100"/>
            <a:t>CapEx: Capital Expenditures</a:t>
          </a:r>
        </a:p>
        <a:p>
          <a:r>
            <a:rPr lang="en-US" sz="1100"/>
            <a:t>Increase (Decrease) in Long-Term Debt is the Current Portion of Long-Term Debt + Long-Term Debt.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370840</xdr:colOff>
      <xdr:row>0</xdr:row>
      <xdr:rowOff>144780</xdr:rowOff>
    </xdr:from>
    <xdr:to>
      <xdr:col>16</xdr:col>
      <xdr:colOff>50800</xdr:colOff>
      <xdr:row>33</xdr:row>
      <xdr:rowOff>101600</xdr:rowOff>
    </xdr:to>
    <xdr:sp macro="" textlink="">
      <xdr:nvSpPr>
        <xdr:cNvPr id="2" name="TextBox 1"/>
        <xdr:cNvSpPr txBox="1"/>
      </xdr:nvSpPr>
      <xdr:spPr>
        <a:xfrm>
          <a:off x="9514840" y="144780"/>
          <a:ext cx="5521960" cy="5836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a:t>
          </a:r>
          <a:r>
            <a:rPr lang="en-US" sz="1100" baseline="0">
              <a:latin typeface="Times New Roman" panose="02020603050405020304" pitchFamily="18" charset="0"/>
              <a:cs typeface="Times New Roman" panose="02020603050405020304" pitchFamily="18" charset="0"/>
            </a:rPr>
            <a:t> </a:t>
          </a:r>
        </a:p>
        <a:p>
          <a:r>
            <a:rPr lang="en-US" sz="1100" b="1">
              <a:solidFill>
                <a:schemeClr val="dk1"/>
              </a:solidFill>
              <a:effectLst/>
              <a:latin typeface="Times New Roman" panose="02020603050405020304" pitchFamily="18" charset="0"/>
              <a:ea typeface="+mn-ea"/>
              <a:cs typeface="Times New Roman" panose="02020603050405020304" pitchFamily="18" charset="0"/>
            </a:rPr>
            <a:t>Enter or change values</a:t>
          </a:r>
          <a:r>
            <a:rPr lang="en-US" sz="1100" b="1" baseline="0">
              <a:solidFill>
                <a:schemeClr val="dk1"/>
              </a:solidFill>
              <a:effectLst/>
              <a:latin typeface="Times New Roman" panose="02020603050405020304" pitchFamily="18" charset="0"/>
              <a:ea typeface="+mn-ea"/>
              <a:cs typeface="Times New Roman" panose="02020603050405020304" pitchFamily="18" charset="0"/>
            </a:rPr>
            <a:t> in each of the Orange Input Fields, then view the results on the ProjectedIncome, ProjectedBalanceSheet and ProjectedCashFlows tabs.</a:t>
          </a:r>
          <a:endParaRPr lang="en-US">
            <a:effectLst/>
            <a:latin typeface="Times New Roman" panose="02020603050405020304" pitchFamily="18" charset="0"/>
            <a:cs typeface="Times New Roman" panose="02020603050405020304" pitchFamily="18" charset="0"/>
          </a:endParaRPr>
        </a:p>
        <a:p>
          <a:endParaRPr lang="en-US" sz="1100" b="1" baseline="0">
            <a:latin typeface="Times New Roman" panose="02020603050405020304" pitchFamily="18" charset="0"/>
            <a:cs typeface="Times New Roman" panose="02020603050405020304" pitchFamily="18" charset="0"/>
          </a:endParaRPr>
        </a:p>
        <a:p>
          <a:r>
            <a:rPr lang="en-US" sz="1100">
              <a:solidFill>
                <a:schemeClr val="dk1"/>
              </a:solidFill>
              <a:effectLst/>
              <a:latin typeface="+mn-lt"/>
              <a:ea typeface="+mn-ea"/>
              <a:cs typeface="+mn-cs"/>
            </a:rPr>
            <a:t>T</a:t>
          </a:r>
          <a:r>
            <a:rPr lang="en-US" sz="1100" baseline="0">
              <a:solidFill>
                <a:schemeClr val="dk1"/>
              </a:solidFill>
              <a:effectLst/>
              <a:latin typeface="+mn-lt"/>
              <a:ea typeface="+mn-ea"/>
              <a:cs typeface="+mn-cs"/>
            </a:rPr>
            <a:t>urnover rates are calculated using average rates: (CY+PY)/2 rather than using ending values.</a:t>
          </a:r>
          <a:endParaRPr lang="en-US">
            <a:effectLst/>
          </a:endParaRPr>
        </a:p>
        <a:p>
          <a:r>
            <a:rPr lang="en-US" sz="1100">
              <a:solidFill>
                <a:schemeClr val="dk1"/>
              </a:solidFill>
              <a:effectLst/>
              <a:latin typeface="+mn-lt"/>
              <a:ea typeface="+mn-ea"/>
              <a:cs typeface="+mn-cs"/>
            </a:rPr>
            <a:t>CY:</a:t>
          </a:r>
          <a:r>
            <a:rPr lang="en-US" sz="1100" baseline="0">
              <a:solidFill>
                <a:schemeClr val="dk1"/>
              </a:solidFill>
              <a:effectLst/>
              <a:latin typeface="+mn-lt"/>
              <a:ea typeface="+mn-ea"/>
              <a:cs typeface="+mn-cs"/>
            </a:rPr>
            <a:t> Current Year</a:t>
          </a:r>
          <a:endParaRPr lang="en-US">
            <a:effectLst/>
          </a:endParaRPr>
        </a:p>
        <a:p>
          <a:r>
            <a:rPr lang="en-US" sz="1100" baseline="0">
              <a:solidFill>
                <a:schemeClr val="dk1"/>
              </a:solidFill>
              <a:effectLst/>
              <a:latin typeface="+mn-lt"/>
              <a:ea typeface="+mn-ea"/>
              <a:cs typeface="+mn-cs"/>
            </a:rPr>
            <a:t>PY: Prior Year</a:t>
          </a:r>
          <a:endParaRPr lang="en-US">
            <a:effectLst/>
          </a:endParaRPr>
        </a:p>
        <a:p>
          <a:endParaRPr lang="en-US" sz="1100" b="1" i="1" baseline="0">
            <a:latin typeface="Times New Roman" panose="02020603050405020304" pitchFamily="18" charset="0"/>
            <a:cs typeface="Times New Roman" panose="02020603050405020304" pitchFamily="18" charset="0"/>
          </a:endParaRPr>
        </a:p>
        <a:p>
          <a:r>
            <a:rPr lang="en-US" sz="1100" b="1" i="1" baseline="0">
              <a:latin typeface="Times New Roman" panose="02020603050405020304" pitchFamily="18" charset="0"/>
              <a:cs typeface="Times New Roman" panose="02020603050405020304" pitchFamily="18" charset="0"/>
            </a:rPr>
            <a:t>Other Current Assets</a:t>
          </a:r>
          <a:r>
            <a:rPr lang="en-US" sz="1100" baseline="0">
              <a:latin typeface="Times New Roman" panose="02020603050405020304" pitchFamily="18" charset="0"/>
              <a:cs typeface="Times New Roman" panose="02020603050405020304" pitchFamily="18" charset="0"/>
            </a:rPr>
            <a:t>: Enter a value or assume no change from the prior year.</a:t>
          </a:r>
        </a:p>
        <a:p>
          <a:endParaRPr lang="en-US" sz="1100" baseline="0">
            <a:latin typeface="Times New Roman" panose="02020603050405020304" pitchFamily="18" charset="0"/>
            <a:cs typeface="Times New Roman" panose="02020603050405020304" pitchFamily="18" charset="0"/>
          </a:endParaRPr>
        </a:p>
        <a:p>
          <a:r>
            <a:rPr lang="en-US" sz="1100" b="1" i="1" baseline="0">
              <a:latin typeface="Times New Roman" panose="02020603050405020304" pitchFamily="18" charset="0"/>
              <a:cs typeface="Times New Roman" panose="02020603050405020304" pitchFamily="18" charset="0"/>
            </a:rPr>
            <a:t>Other Noncurrent Assets</a:t>
          </a:r>
          <a:r>
            <a:rPr lang="en-US" sz="1100" baseline="0">
              <a:latin typeface="Times New Roman" panose="02020603050405020304" pitchFamily="18" charset="0"/>
              <a:cs typeface="Times New Roman" panose="02020603050405020304" pitchFamily="18" charset="0"/>
            </a:rPr>
            <a:t>: </a:t>
          </a:r>
          <a:r>
            <a:rPr lang="en-US" sz="1100" baseline="0">
              <a:solidFill>
                <a:schemeClr val="dk1"/>
              </a:solidFill>
              <a:effectLst/>
              <a:latin typeface="Times New Roman" panose="02020603050405020304" pitchFamily="18" charset="0"/>
              <a:ea typeface="+mn-ea"/>
              <a:cs typeface="Times New Roman" panose="02020603050405020304" pitchFamily="18" charset="0"/>
            </a:rPr>
            <a:t>Enter a value or assume no change from the prior year.</a:t>
          </a:r>
          <a:endParaRPr lang="en-US">
            <a:effectLst/>
            <a:latin typeface="Times New Roman" panose="02020603050405020304" pitchFamily="18" charset="0"/>
            <a:cs typeface="Times New Roman" panose="02020603050405020304" pitchFamily="18" charset="0"/>
          </a:endParaRPr>
        </a:p>
        <a:p>
          <a:endParaRPr lang="en-US" sz="1100" baseline="0">
            <a:latin typeface="Times New Roman" panose="02020603050405020304" pitchFamily="18" charset="0"/>
            <a:cs typeface="Times New Roman" panose="02020603050405020304" pitchFamily="18" charset="0"/>
          </a:endParaRPr>
        </a:p>
        <a:p>
          <a:r>
            <a:rPr lang="en-US" sz="1100" b="1" i="1" baseline="0">
              <a:latin typeface="Times New Roman" panose="02020603050405020304" pitchFamily="18" charset="0"/>
              <a:cs typeface="Times New Roman" panose="02020603050405020304" pitchFamily="18" charset="0"/>
            </a:rPr>
            <a:t>Current Portion of Long-Term Debt </a:t>
          </a:r>
          <a:r>
            <a:rPr lang="en-US" sz="1100" baseline="0">
              <a:latin typeface="Times New Roman" panose="02020603050405020304" pitchFamily="18" charset="0"/>
              <a:cs typeface="Times New Roman" panose="02020603050405020304" pitchFamily="18" charset="0"/>
            </a:rPr>
            <a:t>is taken from the Footnotes for the most recent year's Actuals. It is not directly related to long-term debt as some debt may be retired and new debt may be added. As the footnotes do not exist for this example, enter a value that is not wildly different from prior years.</a:t>
          </a:r>
        </a:p>
        <a:p>
          <a:endParaRPr lang="en-US" sz="1100" baseline="0">
            <a:latin typeface="Times New Roman" panose="02020603050405020304" pitchFamily="18" charset="0"/>
            <a:cs typeface="Times New Roman" panose="02020603050405020304" pitchFamily="18" charset="0"/>
          </a:endParaRPr>
        </a:p>
        <a:p>
          <a:r>
            <a:rPr lang="en-US" sz="1100" b="1" i="1" baseline="0">
              <a:latin typeface="Times New Roman" panose="02020603050405020304" pitchFamily="18" charset="0"/>
              <a:cs typeface="Times New Roman" panose="02020603050405020304" pitchFamily="18" charset="0"/>
            </a:rPr>
            <a:t>Current Portion of Long-Term Debt: </a:t>
          </a:r>
          <a:r>
            <a:rPr lang="en-US" sz="1100" baseline="0">
              <a:solidFill>
                <a:schemeClr val="dk1"/>
              </a:solidFill>
              <a:effectLst/>
              <a:latin typeface="Times New Roman" panose="02020603050405020304" pitchFamily="18" charset="0"/>
              <a:ea typeface="+mn-ea"/>
              <a:cs typeface="Times New Roman" panose="02020603050405020304" pitchFamily="18" charset="0"/>
            </a:rPr>
            <a:t>Enter a value or assume no change from the prior year.</a:t>
          </a:r>
          <a:endParaRPr lang="en-US">
            <a:effectLst/>
            <a:latin typeface="Times New Roman" panose="02020603050405020304" pitchFamily="18" charset="0"/>
            <a:cs typeface="Times New Roman" panose="02020603050405020304" pitchFamily="18" charset="0"/>
          </a:endParaRPr>
        </a:p>
        <a:p>
          <a:endParaRPr lang="en-US" sz="1100" baseline="0">
            <a:latin typeface="Times New Roman" panose="02020603050405020304" pitchFamily="18" charset="0"/>
            <a:cs typeface="Times New Roman" panose="02020603050405020304" pitchFamily="18" charset="0"/>
          </a:endParaRPr>
        </a:p>
        <a:p>
          <a:r>
            <a:rPr lang="en-US" sz="1100" b="1" i="1">
              <a:latin typeface="Times New Roman" panose="02020603050405020304" pitchFamily="18" charset="0"/>
              <a:cs typeface="Times New Roman" panose="02020603050405020304" pitchFamily="18" charset="0"/>
            </a:rPr>
            <a:t>Common Stock</a:t>
          </a:r>
          <a:r>
            <a:rPr lang="en-US" sz="1100">
              <a:latin typeface="Times New Roman" panose="02020603050405020304" pitchFamily="18" charset="0"/>
              <a:cs typeface="Times New Roman" panose="02020603050405020304" pitchFamily="18" charset="0"/>
            </a:rPr>
            <a:t>: </a:t>
          </a:r>
          <a:r>
            <a:rPr lang="en-US" sz="1100" baseline="0">
              <a:solidFill>
                <a:schemeClr val="dk1"/>
              </a:solidFill>
              <a:effectLst/>
              <a:latin typeface="Times New Roman" panose="02020603050405020304" pitchFamily="18" charset="0"/>
              <a:ea typeface="+mn-ea"/>
              <a:cs typeface="Times New Roman" panose="02020603050405020304" pitchFamily="18" charset="0"/>
            </a:rPr>
            <a:t>Model assumes no change from the prior year.</a:t>
          </a:r>
          <a:endParaRPr lang="en-US">
            <a:effectLst/>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1">
              <a:latin typeface="Times New Roman" panose="02020603050405020304" pitchFamily="18" charset="0"/>
              <a:cs typeface="Times New Roman" panose="02020603050405020304" pitchFamily="18" charset="0"/>
            </a:rPr>
            <a:t>Additional Paid-In Capital</a:t>
          </a:r>
          <a:r>
            <a:rPr lang="en-US" sz="1100">
              <a:latin typeface="Times New Roman" panose="02020603050405020304" pitchFamily="18" charset="0"/>
              <a:cs typeface="Times New Roman" panose="02020603050405020304" pitchFamily="18" charset="0"/>
            </a:rPr>
            <a:t>: </a:t>
          </a:r>
          <a:r>
            <a:rPr lang="en-US" sz="1100" baseline="0">
              <a:solidFill>
                <a:schemeClr val="dk1"/>
              </a:solidFill>
              <a:effectLst/>
              <a:latin typeface="Times New Roman" panose="02020603050405020304" pitchFamily="18" charset="0"/>
              <a:ea typeface="+mn-ea"/>
              <a:cs typeface="Times New Roman" panose="02020603050405020304" pitchFamily="18" charset="0"/>
            </a:rPr>
            <a:t>Enter a value or assume no change from the prior year.</a:t>
          </a:r>
          <a:endParaRPr lang="en-US">
            <a:effectLst/>
            <a:latin typeface="Times New Roman" panose="02020603050405020304" pitchFamily="18" charset="0"/>
            <a:cs typeface="Times New Roman" panose="02020603050405020304" pitchFamily="18" charset="0"/>
          </a:endParaRPr>
        </a:p>
        <a:p>
          <a:endParaRPr lang="en-US" sz="1100" baseline="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98425</xdr:colOff>
      <xdr:row>0</xdr:row>
      <xdr:rowOff>0</xdr:rowOff>
    </xdr:from>
    <xdr:to>
      <xdr:col>11</xdr:col>
      <xdr:colOff>825500</xdr:colOff>
      <xdr:row>2</xdr:row>
      <xdr:rowOff>111125</xdr:rowOff>
    </xdr:to>
    <xdr:sp macro="" textlink="">
      <xdr:nvSpPr>
        <xdr:cNvPr id="3" name="TextBox 2"/>
        <xdr:cNvSpPr txBox="1"/>
      </xdr:nvSpPr>
      <xdr:spPr>
        <a:xfrm>
          <a:off x="4543425" y="0"/>
          <a:ext cx="2822575" cy="64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a:t>
          </a: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Times New Roman" panose="02020603050405020304" pitchFamily="18" charset="0"/>
              <a:ea typeface="+mn-ea"/>
              <a:cs typeface="Times New Roman" panose="02020603050405020304" pitchFamily="18" charset="0"/>
            </a:rPr>
            <a:t>Do not change any values on this tab. Use the ProjectionInputs</a:t>
          </a:r>
          <a:r>
            <a:rPr lang="en-US" sz="1100" b="1" baseline="0">
              <a:solidFill>
                <a:schemeClr val="dk1"/>
              </a:solidFill>
              <a:effectLst/>
              <a:latin typeface="Times New Roman" panose="02020603050405020304" pitchFamily="18" charset="0"/>
              <a:ea typeface="+mn-ea"/>
              <a:cs typeface="Times New Roman" panose="02020603050405020304" pitchFamily="18" charset="0"/>
            </a:rPr>
            <a:t> tab to make changes.</a:t>
          </a:r>
          <a:endParaRPr lang="en-US">
            <a:effectLst/>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463550</xdr:colOff>
      <xdr:row>0</xdr:row>
      <xdr:rowOff>111125</xdr:rowOff>
    </xdr:from>
    <xdr:to>
      <xdr:col>18</xdr:col>
      <xdr:colOff>0</xdr:colOff>
      <xdr:row>10</xdr:row>
      <xdr:rowOff>127001</xdr:rowOff>
    </xdr:to>
    <xdr:sp macro="" textlink="">
      <xdr:nvSpPr>
        <xdr:cNvPr id="3" name="TextBox 2"/>
        <xdr:cNvSpPr txBox="1"/>
      </xdr:nvSpPr>
      <xdr:spPr>
        <a:xfrm>
          <a:off x="7296150" y="111125"/>
          <a:ext cx="4425950" cy="18192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a:t>
          </a: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Times New Roman" panose="02020603050405020304" pitchFamily="18" charset="0"/>
              <a:ea typeface="+mn-ea"/>
              <a:cs typeface="Times New Roman" panose="02020603050405020304" pitchFamily="18" charset="0"/>
            </a:rPr>
            <a:t>Do not change any values on this tab. Use the ProjectionInputs</a:t>
          </a:r>
          <a:r>
            <a:rPr lang="en-US" sz="1100" b="1" baseline="0">
              <a:solidFill>
                <a:schemeClr val="dk1"/>
              </a:solidFill>
              <a:effectLst/>
              <a:latin typeface="Times New Roman" panose="02020603050405020304" pitchFamily="18" charset="0"/>
              <a:ea typeface="+mn-ea"/>
              <a:cs typeface="Times New Roman" panose="02020603050405020304" pitchFamily="18" charset="0"/>
            </a:rPr>
            <a:t> tab to make changes.</a:t>
          </a:r>
          <a:endParaRPr lang="en-US">
            <a:effectLst/>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r>
            <a:rPr lang="en-US" sz="1100">
              <a:latin typeface="Times New Roman" panose="02020603050405020304" pitchFamily="18" charset="0"/>
              <a:cs typeface="Times New Roman" panose="02020603050405020304" pitchFamily="18" charset="0"/>
            </a:rPr>
            <a:t>The Balance</a:t>
          </a:r>
          <a:r>
            <a:rPr lang="en-US" sz="1100" baseline="0">
              <a:latin typeface="Times New Roman" panose="02020603050405020304" pitchFamily="18" charset="0"/>
              <a:cs typeface="Times New Roman" panose="02020603050405020304" pitchFamily="18" charset="0"/>
            </a:rPr>
            <a:t> Check field checks that Total Assets and Total Liablities and Shareholders' Equity are equal. If not "Error" appears. Otherwise "OK" appears.</a:t>
          </a:r>
          <a:endParaRPr lang="en-US" sz="110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r>
            <a:rPr lang="en-US" sz="1100">
              <a:latin typeface="Times New Roman" panose="02020603050405020304" pitchFamily="18" charset="0"/>
              <a:cs typeface="Times New Roman" panose="02020603050405020304" pitchFamily="18" charset="0"/>
            </a:rPr>
            <a:t>Shaded cells in</a:t>
          </a:r>
          <a:r>
            <a:rPr lang="en-US" sz="1100" baseline="0">
              <a:latin typeface="Times New Roman" panose="02020603050405020304" pitchFamily="18" charset="0"/>
              <a:cs typeface="Times New Roman" panose="02020603050405020304" pitchFamily="18" charset="0"/>
            </a:rPr>
            <a:t> the Change in Balance Sheet column are those cells used in the Pro Form Statement of Cash Flows.</a:t>
          </a:r>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241300</xdr:colOff>
      <xdr:row>0</xdr:row>
      <xdr:rowOff>162560</xdr:rowOff>
    </xdr:from>
    <xdr:to>
      <xdr:col>18</xdr:col>
      <xdr:colOff>139700</xdr:colOff>
      <xdr:row>11</xdr:row>
      <xdr:rowOff>133350</xdr:rowOff>
    </xdr:to>
    <xdr:sp macro="" textlink="">
      <xdr:nvSpPr>
        <xdr:cNvPr id="2" name="TextBox 1"/>
        <xdr:cNvSpPr txBox="1"/>
      </xdr:nvSpPr>
      <xdr:spPr>
        <a:xfrm>
          <a:off x="6654800" y="162560"/>
          <a:ext cx="6184900" cy="24472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a:t>
          </a:r>
        </a:p>
        <a:p>
          <a:r>
            <a:rPr lang="en-US" sz="1100" b="1" i="0" u="none" strike="noStrike">
              <a:solidFill>
                <a:schemeClr val="dk1"/>
              </a:solidFill>
              <a:effectLst/>
              <a:latin typeface="+mn-lt"/>
              <a:ea typeface="+mn-ea"/>
              <a:cs typeface="+mn-cs"/>
            </a:rPr>
            <a:t>Do not make any changes on this tab.</a:t>
          </a:r>
          <a:r>
            <a:rPr lang="en-US" sz="1100" b="1" i="0" u="none" strike="noStrike" baseline="0">
              <a:solidFill>
                <a:schemeClr val="dk1"/>
              </a:solidFill>
              <a:effectLst/>
              <a:latin typeface="+mn-lt"/>
              <a:ea typeface="+mn-ea"/>
              <a:cs typeface="+mn-cs"/>
            </a:rPr>
            <a:t> Change on ProjectionInputs tab</a:t>
          </a:r>
          <a:endParaRPr lang="en-US" sz="1100" b="1" i="0" u="none" strike="noStrike">
            <a:solidFill>
              <a:schemeClr val="dk1"/>
            </a:solidFill>
            <a:effectLst/>
            <a:latin typeface="+mn-lt"/>
            <a:ea typeface="+mn-ea"/>
            <a:cs typeface="+mn-cs"/>
          </a:endParaRP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The Check Sum Checks </a:t>
          </a:r>
          <a:r>
            <a:rPr lang="en-US" sz="1100" b="0" i="1" u="none" strike="noStrike">
              <a:solidFill>
                <a:schemeClr val="dk1"/>
              </a:solidFill>
              <a:effectLst/>
              <a:latin typeface="+mn-lt"/>
              <a:ea typeface="+mn-ea"/>
              <a:cs typeface="+mn-cs"/>
            </a:rPr>
            <a:t>Ending Cash</a:t>
          </a:r>
          <a:r>
            <a:rPr lang="en-US" sz="1100" b="0" i="0" u="none" strike="noStrike">
              <a:solidFill>
                <a:schemeClr val="dk1"/>
              </a:solidFill>
              <a:effectLst/>
              <a:latin typeface="+mn-lt"/>
              <a:ea typeface="+mn-ea"/>
              <a:cs typeface="+mn-cs"/>
            </a:rPr>
            <a:t> against </a:t>
          </a:r>
          <a:r>
            <a:rPr lang="en-US" sz="1100" b="0" i="1" u="none" strike="noStrike">
              <a:solidFill>
                <a:schemeClr val="dk1"/>
              </a:solidFill>
              <a:effectLst/>
              <a:latin typeface="+mn-lt"/>
              <a:ea typeface="+mn-ea"/>
              <a:cs typeface="+mn-cs"/>
            </a:rPr>
            <a:t>Cash</a:t>
          </a:r>
          <a:r>
            <a:rPr lang="en-US" sz="1100" b="0" i="0" u="none" strike="noStrike">
              <a:solidFill>
                <a:schemeClr val="dk1"/>
              </a:solidFill>
              <a:effectLst/>
              <a:latin typeface="+mn-lt"/>
              <a:ea typeface="+mn-ea"/>
              <a:cs typeface="+mn-cs"/>
            </a:rPr>
            <a:t> on the Balance Sheet for that Year and Should be OK and not in Error. To get this to balance, change various CashFlowInputs values until it balances.</a:t>
          </a:r>
          <a:r>
            <a:rPr lang="en-US"/>
            <a:t> Note that</a:t>
          </a:r>
          <a:r>
            <a:rPr lang="en-US" baseline="0"/>
            <a:t> the inputs on that page are a simplification of the real statements of cash flow, which have more variables such as bad debt expense and so on, but these statements are simplified and omit many of these considerations.</a:t>
          </a:r>
          <a:r>
            <a:rPr lang="en-US" sz="1100" b="0" i="0" u="none" strike="noStrike">
              <a:solidFill>
                <a:schemeClr val="dk1"/>
              </a:solidFill>
              <a:effectLst/>
              <a:latin typeface="+mn-lt"/>
              <a:ea typeface="+mn-ea"/>
              <a:cs typeface="+mn-cs"/>
            </a:rPr>
            <a:t>The Check Sum Checks </a:t>
          </a:r>
          <a:r>
            <a:rPr lang="en-US" sz="1100" b="0" i="1" u="none" strike="noStrike">
              <a:solidFill>
                <a:schemeClr val="dk1"/>
              </a:solidFill>
              <a:effectLst/>
              <a:latin typeface="+mn-lt"/>
              <a:ea typeface="+mn-ea"/>
              <a:cs typeface="+mn-cs"/>
            </a:rPr>
            <a:t>Ending Cash</a:t>
          </a:r>
          <a:r>
            <a:rPr lang="en-US" sz="1100" b="0" i="0" u="none" strike="noStrike">
              <a:solidFill>
                <a:schemeClr val="dk1"/>
              </a:solidFill>
              <a:effectLst/>
              <a:latin typeface="+mn-lt"/>
              <a:ea typeface="+mn-ea"/>
              <a:cs typeface="+mn-cs"/>
            </a:rPr>
            <a:t> against </a:t>
          </a:r>
          <a:r>
            <a:rPr lang="en-US" sz="1100" b="0" i="1" u="none" strike="noStrike">
              <a:solidFill>
                <a:schemeClr val="dk1"/>
              </a:solidFill>
              <a:effectLst/>
              <a:latin typeface="+mn-lt"/>
              <a:ea typeface="+mn-ea"/>
              <a:cs typeface="+mn-cs"/>
            </a:rPr>
            <a:t>Cash</a:t>
          </a:r>
          <a:r>
            <a:rPr lang="en-US" sz="1100" b="0" i="0" u="none" strike="noStrike">
              <a:solidFill>
                <a:schemeClr val="dk1"/>
              </a:solidFill>
              <a:effectLst/>
              <a:latin typeface="+mn-lt"/>
              <a:ea typeface="+mn-ea"/>
              <a:cs typeface="+mn-cs"/>
            </a:rPr>
            <a:t> on the Balance Sheet for that Year and Should be OK and not in Error. To get this to balance, change various values on the CashFlowInputs tab</a:t>
          </a:r>
          <a:r>
            <a:rPr lang="en-US" sz="1100" b="0" i="0" u="none" strike="noStrike" baseline="0">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until it balances.</a:t>
          </a:r>
          <a:r>
            <a:rPr lang="en-US"/>
            <a:t> </a:t>
          </a:r>
        </a:p>
        <a:p>
          <a:endParaRPr lang="en-US" sz="1100"/>
        </a:p>
        <a:p>
          <a:r>
            <a:rPr lang="en-US" sz="1100"/>
            <a:t>CapEx: Capital Expenditures</a:t>
          </a:r>
        </a:p>
        <a:p>
          <a:endParaRPr lang="en-US" sz="1100"/>
        </a:p>
        <a:p>
          <a:r>
            <a:rPr lang="en-US" sz="1100"/>
            <a:t>Increase (Decrease) in Long-Term Debt is the Current Portion of Long-Term Debt + Long-Term Debt.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hadd\Documents\AAWork\AFP2014FPA\2014SelfStudy2_0Draft2\Worksheets\BALANC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HP"/>
      <sheetName val="Comparison 0902"/>
      <sheetName val="Comparison 0802 (2)"/>
      <sheetName val="Comparison 0802"/>
      <sheetName val="Comparison 0702"/>
      <sheetName val="Comparison 0602 (2)"/>
      <sheetName val="Comparison 0602"/>
      <sheetName val="Comparison 0502"/>
      <sheetName val="Comparison 0402"/>
      <sheetName val="Comparison 0302"/>
      <sheetName val="Comparison 0202"/>
      <sheetName val="Comparison 0102"/>
      <sheetName val="Comparison 1201"/>
      <sheetName val="Comparison 1101"/>
      <sheetName val="Comparison 1001"/>
      <sheetName val="Comparison 0901"/>
      <sheetName val="Comparison 0801"/>
      <sheetName val="Comparison 0701"/>
      <sheetName val="Comparison 0601 "/>
      <sheetName val="Comparison 0501"/>
      <sheetName val="Comparison 0401"/>
      <sheetName val="Comparison 0301 (2)"/>
      <sheetName val="Comparison 0301"/>
      <sheetName val="Comparison 0201"/>
      <sheetName val="Comparison 0101"/>
      <sheetName val="Comparison 1200 Audited"/>
      <sheetName val="Comparison 1200 (3)"/>
      <sheetName val="Comparison 1200 (2)"/>
      <sheetName val="Comparison 1200"/>
      <sheetName val="Comparison 1100"/>
      <sheetName val="Comparison 1000"/>
      <sheetName val="Comparison 0900"/>
      <sheetName val="Comparison 0800 (2)"/>
      <sheetName val="Comparison 0800"/>
      <sheetName val="Comparison 0700"/>
      <sheetName val="Comparison 0600 (2)"/>
      <sheetName val="Comparison 0600"/>
      <sheetName val="Comparison 0500-updated"/>
      <sheetName val="Comparison 0500"/>
      <sheetName val="Comparison 0400-updated"/>
      <sheetName val="Comparison 0400"/>
      <sheetName val="Comparison 0300"/>
      <sheetName val="Comparison 0200"/>
      <sheetName val="Comparison 0100"/>
      <sheetName val="Comparison 1299"/>
      <sheetName val="Comparison 1199"/>
      <sheetName val="Morgan Stanley"/>
      <sheetName val="1997"/>
      <sheetName val="PHP (2)"/>
      <sheetName val="PHP (3)"/>
      <sheetName val="PHP Holdings"/>
      <sheetName val="Comparison"/>
      <sheetName val="Comparison 0399"/>
      <sheetName val="Comparison 0499"/>
      <sheetName val="Comparison 0599"/>
      <sheetName val="Comparison 0699"/>
      <sheetName val="Comparison 0699 (2)"/>
      <sheetName val="Comparison 0799"/>
      <sheetName val="Comparison 0899"/>
      <sheetName val="Comparison 0899 (2)"/>
      <sheetName val="Comparison 0999 Actual"/>
      <sheetName val="Comparison 0999"/>
      <sheetName val="Comparison 1099"/>
      <sheetName val="Sheet2"/>
      <sheetName val="Sheet3"/>
      <sheetName val="Sheet4"/>
      <sheetName val="Sheet5"/>
      <sheetName val="PHP 2000"/>
      <sheetName val="PHP 2001"/>
      <sheetName val="ADI"/>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I75"/>
  <sheetViews>
    <sheetView showGridLines="0" workbookViewId="0">
      <pane ySplit="2" topLeftCell="A3" activePane="bottomLeft" state="frozen"/>
      <selection pane="bottomLeft" activeCell="C72" sqref="C72"/>
    </sheetView>
  </sheetViews>
  <sheetFormatPr defaultColWidth="9.140625" defaultRowHeight="15" x14ac:dyDescent="0.25"/>
  <cols>
    <col min="1" max="1" width="0.7109375" style="1" customWidth="1"/>
    <col min="2" max="2" width="32.42578125" style="1" customWidth="1"/>
    <col min="3" max="3" width="11.140625" style="1" customWidth="1"/>
    <col min="4" max="4" width="8.7109375" style="1" customWidth="1"/>
    <col min="5" max="6" width="8.28515625" style="1" bestFit="1" customWidth="1"/>
    <col min="7" max="7" width="10.28515625" style="1" customWidth="1"/>
    <col min="8" max="8" width="21.140625" style="1" customWidth="1"/>
    <col min="9" max="16384" width="9.140625" style="1"/>
  </cols>
  <sheetData>
    <row r="1" spans="2:9" ht="17.45" x14ac:dyDescent="0.3">
      <c r="B1" s="12" t="s">
        <v>106</v>
      </c>
      <c r="C1" s="12"/>
    </row>
    <row r="2" spans="2:9" ht="13.9" x14ac:dyDescent="0.25">
      <c r="B2" s="90" t="s">
        <v>57</v>
      </c>
      <c r="C2" s="90"/>
      <c r="D2" s="93" t="s">
        <v>87</v>
      </c>
      <c r="E2" s="93"/>
      <c r="F2" s="93" t="s">
        <v>108</v>
      </c>
      <c r="G2" s="93"/>
    </row>
    <row r="3" spans="2:9" ht="8.25" customHeight="1" x14ac:dyDescent="0.25">
      <c r="B3" s="90"/>
      <c r="C3" s="90"/>
      <c r="D3" s="90"/>
      <c r="E3" s="90"/>
      <c r="F3" s="90"/>
      <c r="G3" s="90"/>
    </row>
    <row r="4" spans="2:9" ht="13.9" x14ac:dyDescent="0.25">
      <c r="B4" s="313" t="s">
        <v>118</v>
      </c>
      <c r="C4" s="313"/>
      <c r="D4" s="313"/>
      <c r="E4" s="313"/>
      <c r="F4" s="313"/>
      <c r="G4" s="90"/>
    </row>
    <row r="5" spans="2:9" ht="14.45" x14ac:dyDescent="0.3">
      <c r="B5" s="314" t="s">
        <v>119</v>
      </c>
      <c r="C5" s="315"/>
      <c r="D5" s="315"/>
      <c r="E5" s="315"/>
      <c r="F5" s="316"/>
      <c r="G5" s="90"/>
      <c r="H5" s="39" t="s">
        <v>120</v>
      </c>
      <c r="I5" s="18"/>
    </row>
    <row r="6" spans="2:9" ht="8.25" customHeight="1" x14ac:dyDescent="0.25">
      <c r="B6" s="24"/>
      <c r="C6" s="8"/>
      <c r="D6" s="95"/>
      <c r="E6" s="94"/>
      <c r="F6" s="95"/>
      <c r="G6" s="90"/>
      <c r="H6" s="24"/>
      <c r="I6" s="92"/>
    </row>
    <row r="7" spans="2:9" ht="15.6" x14ac:dyDescent="0.3">
      <c r="B7" s="24"/>
      <c r="C7" s="8"/>
      <c r="D7" s="41">
        <f>BalanceSheets!D7</f>
        <v>2011</v>
      </c>
      <c r="E7" s="40">
        <f>BalanceSheets!E7</f>
        <v>2012</v>
      </c>
      <c r="F7" s="41">
        <f>BalanceSheets!F7</f>
        <v>2013</v>
      </c>
      <c r="G7" s="90"/>
      <c r="H7" s="24"/>
      <c r="I7" s="44">
        <f>ProjectedIncomeStatement!G7</f>
        <v>2014</v>
      </c>
    </row>
    <row r="8" spans="2:9" ht="13.9" x14ac:dyDescent="0.25">
      <c r="B8" s="34" t="s">
        <v>115</v>
      </c>
      <c r="C8" s="229"/>
      <c r="D8" s="43" t="str">
        <f>BalanceSheets!D43</f>
        <v>OK</v>
      </c>
      <c r="E8" s="42" t="str">
        <f>BalanceSheets!E43</f>
        <v>OK</v>
      </c>
      <c r="F8" s="43" t="str">
        <f>BalanceSheets!F43</f>
        <v>OK</v>
      </c>
      <c r="G8" s="90"/>
      <c r="H8" s="34" t="s">
        <v>115</v>
      </c>
      <c r="I8" s="43" t="str">
        <f>ProjectedBalanceSheet!G43</f>
        <v>OK</v>
      </c>
    </row>
    <row r="9" spans="2:9" ht="13.9" x14ac:dyDescent="0.25">
      <c r="B9" s="34" t="s">
        <v>117</v>
      </c>
      <c r="C9" s="229"/>
      <c r="D9" s="43" t="s">
        <v>81</v>
      </c>
      <c r="E9" s="42" t="str">
        <f>CashFlows!E41</f>
        <v>OK</v>
      </c>
      <c r="F9" s="43" t="str">
        <f>CashFlows!F41</f>
        <v>OK</v>
      </c>
      <c r="G9" s="90"/>
      <c r="H9" s="34" t="s">
        <v>117</v>
      </c>
      <c r="I9" s="43" t="str">
        <f>ProjectedCashFlows!G41</f>
        <v>OK</v>
      </c>
    </row>
    <row r="10" spans="2:9" ht="13.9" x14ac:dyDescent="0.25">
      <c r="B10" s="34" t="s">
        <v>116</v>
      </c>
      <c r="C10" s="229"/>
      <c r="D10" s="43" t="s">
        <v>81</v>
      </c>
      <c r="E10" s="42" t="str">
        <f>IF(IncomeStatements!E18=(BalanceSheets!G38-CashFlows!E31),"OK","Error")</f>
        <v>OK</v>
      </c>
      <c r="F10" s="43" t="str">
        <f>IF(IncomeStatements!F18=(BalanceSheets!H38-CashFlows!F31),"OK","Error")</f>
        <v>OK</v>
      </c>
      <c r="G10" s="90"/>
      <c r="H10" s="34" t="s">
        <v>116</v>
      </c>
      <c r="I10" s="43" t="str">
        <f>ProjectedInputs!$I$4</f>
        <v>OK</v>
      </c>
    </row>
    <row r="11" spans="2:9" ht="8.25" customHeight="1" x14ac:dyDescent="0.25">
      <c r="B11" s="45"/>
      <c r="C11" s="46"/>
      <c r="D11" s="47"/>
      <c r="E11" s="46"/>
      <c r="F11" s="47"/>
      <c r="G11" s="90"/>
      <c r="H11" s="45"/>
      <c r="I11" s="47"/>
    </row>
    <row r="12" spans="2:9" ht="8.25" customHeight="1" x14ac:dyDescent="0.25">
      <c r="B12" s="90"/>
      <c r="C12" s="90"/>
      <c r="D12" s="90"/>
      <c r="E12" s="90"/>
      <c r="F12" s="90"/>
      <c r="G12" s="90"/>
    </row>
    <row r="13" spans="2:9" ht="13.9" x14ac:dyDescent="0.25">
      <c r="B13" s="307" t="s">
        <v>67</v>
      </c>
      <c r="C13" s="308"/>
      <c r="D13" s="308"/>
      <c r="E13" s="308"/>
      <c r="F13" s="308"/>
      <c r="G13" s="309"/>
    </row>
    <row r="14" spans="2:9" ht="13.9" x14ac:dyDescent="0.25">
      <c r="B14" s="310" t="s">
        <v>0</v>
      </c>
      <c r="C14" s="311"/>
      <c r="D14" s="311"/>
      <c r="E14" s="311"/>
      <c r="F14" s="311"/>
      <c r="G14" s="312"/>
    </row>
    <row r="15" spans="2:9" ht="13.9" x14ac:dyDescent="0.25">
      <c r="B15" s="24"/>
      <c r="C15" s="8"/>
      <c r="D15" s="25" t="s">
        <v>1</v>
      </c>
      <c r="E15" s="25"/>
      <c r="G15" s="9"/>
    </row>
    <row r="16" spans="2:9" ht="14.45" x14ac:dyDescent="0.3">
      <c r="B16" s="26" t="s">
        <v>68</v>
      </c>
      <c r="C16" s="133"/>
      <c r="D16" s="274">
        <v>2011</v>
      </c>
      <c r="E16" s="274">
        <v>2012</v>
      </c>
      <c r="F16" s="274">
        <v>2013</v>
      </c>
      <c r="G16" s="27"/>
    </row>
    <row r="17" spans="2:8" ht="14.45" x14ac:dyDescent="0.3">
      <c r="B17" s="28" t="s">
        <v>3</v>
      </c>
      <c r="C17" s="131"/>
      <c r="D17" s="275">
        <v>33669000000</v>
      </c>
      <c r="E17" s="275">
        <v>46227000000</v>
      </c>
      <c r="F17" s="275">
        <v>56206000000</v>
      </c>
      <c r="G17" s="29"/>
    </row>
    <row r="18" spans="2:8" ht="14.45" x14ac:dyDescent="0.3">
      <c r="B18" s="30" t="s">
        <v>4</v>
      </c>
      <c r="C18" s="208"/>
      <c r="D18" s="276">
        <v>21673000000</v>
      </c>
      <c r="E18" s="276">
        <v>32647000000</v>
      </c>
      <c r="F18" s="276">
        <v>36161000000</v>
      </c>
      <c r="G18" s="29"/>
    </row>
    <row r="19" spans="2:8" ht="13.9" x14ac:dyDescent="0.25">
      <c r="B19" s="26" t="s">
        <v>14</v>
      </c>
      <c r="C19" s="133"/>
      <c r="D19" s="293" t="s">
        <v>79</v>
      </c>
      <c r="E19" s="294"/>
      <c r="F19" s="295"/>
      <c r="G19" s="29"/>
    </row>
    <row r="20" spans="2:8" ht="14.45" x14ac:dyDescent="0.3">
      <c r="B20" s="30" t="s">
        <v>5</v>
      </c>
      <c r="C20" s="208"/>
      <c r="D20" s="277">
        <v>7320000000</v>
      </c>
      <c r="E20" s="277">
        <v>9847000000</v>
      </c>
      <c r="F20" s="277">
        <v>13694000000</v>
      </c>
      <c r="G20" s="29"/>
    </row>
    <row r="21" spans="2:8" ht="14.45" x14ac:dyDescent="0.3">
      <c r="B21" s="30" t="s">
        <v>6</v>
      </c>
      <c r="C21" s="208"/>
      <c r="D21" s="276">
        <v>870000000</v>
      </c>
      <c r="E21" s="276">
        <v>1207000000</v>
      </c>
      <c r="F21" s="276">
        <v>1510000000</v>
      </c>
      <c r="G21" s="29"/>
    </row>
    <row r="22" spans="2:8" ht="13.9" x14ac:dyDescent="0.25">
      <c r="B22" s="26" t="s">
        <v>13</v>
      </c>
      <c r="C22" s="133"/>
      <c r="D22" s="293" t="s">
        <v>79</v>
      </c>
      <c r="E22" s="294"/>
      <c r="F22" s="295"/>
      <c r="G22" s="29"/>
    </row>
    <row r="23" spans="2:8" ht="14.45" x14ac:dyDescent="0.3">
      <c r="B23" s="30" t="s">
        <v>7</v>
      </c>
      <c r="C23" s="208"/>
      <c r="D23" s="278">
        <v>525000000</v>
      </c>
      <c r="E23" s="278">
        <v>611000000</v>
      </c>
      <c r="F23" s="278">
        <v>684000000</v>
      </c>
      <c r="G23" s="29"/>
    </row>
    <row r="24" spans="2:8" ht="13.9" x14ac:dyDescent="0.25">
      <c r="B24" s="31" t="s">
        <v>12</v>
      </c>
      <c r="C24" s="230"/>
      <c r="D24" s="293" t="s">
        <v>79</v>
      </c>
      <c r="E24" s="294"/>
      <c r="F24" s="295"/>
      <c r="G24" s="29"/>
    </row>
    <row r="25" spans="2:8" ht="14.45" x14ac:dyDescent="0.3">
      <c r="B25" s="30" t="s">
        <v>8</v>
      </c>
      <c r="C25" s="208"/>
      <c r="D25" s="278">
        <v>984000000</v>
      </c>
      <c r="E25" s="278">
        <v>575000000</v>
      </c>
      <c r="F25" s="278">
        <v>1247000000</v>
      </c>
      <c r="G25" s="29"/>
    </row>
    <row r="26" spans="2:8" ht="13.9" x14ac:dyDescent="0.25">
      <c r="B26" s="26" t="s">
        <v>9</v>
      </c>
      <c r="C26" s="133"/>
      <c r="D26" s="302" t="s">
        <v>79</v>
      </c>
      <c r="E26" s="303"/>
      <c r="F26" s="304"/>
      <c r="G26" s="29"/>
    </row>
    <row r="27" spans="2:8" ht="13.9" x14ac:dyDescent="0.25">
      <c r="B27" s="26" t="s">
        <v>10</v>
      </c>
      <c r="C27" s="133"/>
      <c r="D27" s="317" t="s">
        <v>79</v>
      </c>
      <c r="E27" s="318"/>
      <c r="F27" s="319"/>
      <c r="G27" s="9"/>
    </row>
    <row r="28" spans="2:8" ht="14.45" x14ac:dyDescent="0.3">
      <c r="B28" s="24" t="s">
        <v>11</v>
      </c>
      <c r="C28" s="8"/>
      <c r="D28" s="279">
        <v>1000000000</v>
      </c>
      <c r="E28" s="98" t="s">
        <v>79</v>
      </c>
      <c r="F28" s="99"/>
      <c r="G28" s="9"/>
      <c r="H28" s="1" t="s">
        <v>193</v>
      </c>
    </row>
    <row r="29" spans="2:8" ht="13.9" x14ac:dyDescent="0.25">
      <c r="B29" s="32"/>
      <c r="C29" s="10"/>
      <c r="D29" s="10"/>
      <c r="E29" s="10"/>
      <c r="F29" s="10"/>
      <c r="G29" s="11"/>
    </row>
    <row r="31" spans="2:8" ht="13.9" x14ac:dyDescent="0.25">
      <c r="B31" s="307" t="s">
        <v>105</v>
      </c>
      <c r="C31" s="308"/>
      <c r="D31" s="308"/>
      <c r="E31" s="308"/>
      <c r="F31" s="308"/>
      <c r="G31" s="309"/>
    </row>
    <row r="32" spans="2:8" ht="13.9" x14ac:dyDescent="0.25">
      <c r="B32" s="310" t="s">
        <v>0</v>
      </c>
      <c r="C32" s="311"/>
      <c r="D32" s="311"/>
      <c r="E32" s="311"/>
      <c r="F32" s="311"/>
      <c r="G32" s="312"/>
    </row>
    <row r="33" spans="2:7" ht="13.9" x14ac:dyDescent="0.25">
      <c r="B33" s="24"/>
      <c r="C33" s="8"/>
      <c r="D33" s="301" t="s">
        <v>75</v>
      </c>
      <c r="E33" s="301"/>
      <c r="F33" s="301"/>
      <c r="G33" s="9"/>
    </row>
    <row r="34" spans="2:7" ht="13.9" x14ac:dyDescent="0.25">
      <c r="B34" s="24"/>
      <c r="C34" s="8"/>
      <c r="D34" s="17">
        <f>'Financial Statement Inputs'!D16</f>
        <v>2011</v>
      </c>
      <c r="E34" s="16">
        <f>'Financial Statement Inputs'!E16</f>
        <v>2012</v>
      </c>
      <c r="F34" s="15">
        <f>'Financial Statement Inputs'!F16</f>
        <v>2013</v>
      </c>
      <c r="G34" s="9"/>
    </row>
    <row r="35" spans="2:7" ht="13.9" x14ac:dyDescent="0.25">
      <c r="B35" s="33" t="s">
        <v>25</v>
      </c>
      <c r="C35" s="25"/>
      <c r="D35" s="25"/>
      <c r="E35" s="25"/>
      <c r="F35" s="25"/>
      <c r="G35" s="9"/>
    </row>
    <row r="36" spans="2:7" ht="14.45" x14ac:dyDescent="0.3">
      <c r="B36" s="24" t="s">
        <v>15</v>
      </c>
      <c r="C36" s="8"/>
      <c r="D36" s="280">
        <v>682000000</v>
      </c>
      <c r="E36" s="299" t="s">
        <v>79</v>
      </c>
      <c r="F36" s="300"/>
      <c r="G36" s="9"/>
    </row>
    <row r="37" spans="2:7" ht="14.45" x14ac:dyDescent="0.3">
      <c r="B37" s="24" t="s">
        <v>16</v>
      </c>
      <c r="C37" s="8"/>
      <c r="D37" s="275">
        <v>5008000000</v>
      </c>
      <c r="E37" s="277">
        <v>5083000000</v>
      </c>
      <c r="F37" s="277">
        <v>6082000000</v>
      </c>
      <c r="G37" s="9"/>
    </row>
    <row r="38" spans="2:7" ht="14.45" x14ac:dyDescent="0.3">
      <c r="B38" s="24" t="s">
        <v>17</v>
      </c>
      <c r="C38" s="8"/>
      <c r="D38" s="275">
        <v>4284000000</v>
      </c>
      <c r="E38" s="275">
        <v>4984000000</v>
      </c>
      <c r="F38" s="275">
        <v>6460000000</v>
      </c>
      <c r="G38" s="9"/>
    </row>
    <row r="39" spans="2:7" ht="14.45" x14ac:dyDescent="0.3">
      <c r="B39" s="24" t="s">
        <v>18</v>
      </c>
      <c r="C39" s="8"/>
      <c r="D39" s="275">
        <v>766000000</v>
      </c>
      <c r="E39" s="275">
        <v>2167000000</v>
      </c>
      <c r="F39" s="275">
        <v>1468000000</v>
      </c>
      <c r="G39" s="9"/>
    </row>
    <row r="40" spans="2:7" ht="13.9" x14ac:dyDescent="0.25">
      <c r="B40" s="24" t="s">
        <v>19</v>
      </c>
      <c r="C40" s="8"/>
      <c r="D40" s="296" t="s">
        <v>79</v>
      </c>
      <c r="E40" s="297"/>
      <c r="F40" s="298"/>
      <c r="G40" s="9"/>
    </row>
    <row r="41" spans="2:7" ht="14.45" x14ac:dyDescent="0.3">
      <c r="B41" s="24" t="s">
        <v>20</v>
      </c>
      <c r="C41" s="8"/>
      <c r="D41" s="275">
        <v>18842000000</v>
      </c>
      <c r="E41" s="275">
        <v>21868000000</v>
      </c>
      <c r="F41" s="275">
        <v>26726000000</v>
      </c>
      <c r="G41" s="9"/>
    </row>
    <row r="42" spans="2:7" ht="14.45" x14ac:dyDescent="0.3">
      <c r="B42" s="24" t="s">
        <v>21</v>
      </c>
      <c r="C42" s="8"/>
      <c r="D42" s="276">
        <v>5066000000</v>
      </c>
      <c r="E42" s="96" t="s">
        <v>79</v>
      </c>
      <c r="F42" s="97"/>
      <c r="G42" s="9"/>
    </row>
    <row r="43" spans="2:7" ht="13.9" x14ac:dyDescent="0.25">
      <c r="B43" s="24" t="s">
        <v>22</v>
      </c>
      <c r="C43" s="8"/>
      <c r="D43" s="293" t="s">
        <v>79</v>
      </c>
      <c r="E43" s="294"/>
      <c r="F43" s="295"/>
      <c r="G43" s="9"/>
    </row>
    <row r="44" spans="2:7" ht="14.45" x14ac:dyDescent="0.3">
      <c r="B44" s="24" t="s">
        <v>23</v>
      </c>
      <c r="C44" s="8"/>
      <c r="D44" s="278">
        <v>1224000000</v>
      </c>
      <c r="E44" s="278">
        <v>1642000000</v>
      </c>
      <c r="F44" s="278">
        <v>1813000000</v>
      </c>
      <c r="G44" s="9"/>
    </row>
    <row r="45" spans="2:7" ht="13.9" x14ac:dyDescent="0.25">
      <c r="B45" s="24" t="s">
        <v>24</v>
      </c>
      <c r="C45" s="8"/>
      <c r="D45" s="293" t="s">
        <v>79</v>
      </c>
      <c r="E45" s="294"/>
      <c r="F45" s="295"/>
      <c r="G45" s="9"/>
    </row>
    <row r="46" spans="2:7" ht="13.9" x14ac:dyDescent="0.25">
      <c r="B46" s="24"/>
      <c r="C46" s="8"/>
      <c r="D46" s="8"/>
      <c r="E46" s="8"/>
      <c r="F46" s="8"/>
      <c r="G46" s="9"/>
    </row>
    <row r="47" spans="2:7" x14ac:dyDescent="0.25">
      <c r="B47" s="33" t="s">
        <v>26</v>
      </c>
      <c r="C47" s="25"/>
      <c r="D47" s="8"/>
      <c r="E47" s="8"/>
      <c r="F47" s="8"/>
      <c r="G47" s="9"/>
    </row>
    <row r="48" spans="2:7" x14ac:dyDescent="0.25">
      <c r="B48" s="33" t="s">
        <v>85</v>
      </c>
      <c r="C48" s="25"/>
      <c r="D48" s="8"/>
      <c r="E48" s="8"/>
      <c r="F48" s="8"/>
      <c r="G48" s="9"/>
    </row>
    <row r="49" spans="2:8" x14ac:dyDescent="0.25">
      <c r="B49" s="34" t="s">
        <v>27</v>
      </c>
      <c r="C49" s="229"/>
      <c r="D49" s="275">
        <v>4215000000</v>
      </c>
      <c r="E49" s="275">
        <v>5451000000</v>
      </c>
      <c r="F49" s="275">
        <v>6934000000</v>
      </c>
      <c r="G49" s="9"/>
    </row>
    <row r="50" spans="2:8" x14ac:dyDescent="0.25">
      <c r="B50" s="34" t="s">
        <v>28</v>
      </c>
      <c r="C50" s="229"/>
      <c r="D50" s="275">
        <v>879000000</v>
      </c>
      <c r="E50" s="275">
        <v>1016000000</v>
      </c>
      <c r="F50" s="275">
        <v>606000000</v>
      </c>
      <c r="G50" s="9"/>
    </row>
    <row r="51" spans="2:8" x14ac:dyDescent="0.25">
      <c r="B51" s="34" t="s">
        <v>29</v>
      </c>
      <c r="C51" s="229"/>
      <c r="D51" s="275">
        <v>1390000000</v>
      </c>
      <c r="E51" s="275">
        <v>1416000000</v>
      </c>
      <c r="F51" s="275">
        <v>1959000000</v>
      </c>
      <c r="G51" s="9"/>
    </row>
    <row r="52" spans="2:8" x14ac:dyDescent="0.25">
      <c r="B52" s="34" t="s">
        <v>30</v>
      </c>
      <c r="C52" s="229"/>
      <c r="D52" s="276">
        <v>287000000</v>
      </c>
      <c r="E52" s="276">
        <v>1327000000</v>
      </c>
      <c r="F52" s="276">
        <v>364000000</v>
      </c>
      <c r="G52" s="9"/>
    </row>
    <row r="53" spans="2:8" x14ac:dyDescent="0.25">
      <c r="B53" s="33" t="s">
        <v>31</v>
      </c>
      <c r="C53" s="25"/>
      <c r="D53" s="302" t="s">
        <v>79</v>
      </c>
      <c r="E53" s="303"/>
      <c r="F53" s="304"/>
      <c r="G53" s="9"/>
    </row>
    <row r="54" spans="2:8" x14ac:dyDescent="0.25">
      <c r="B54" s="33" t="s">
        <v>107</v>
      </c>
      <c r="C54" s="25"/>
      <c r="D54" s="100"/>
      <c r="E54" s="100"/>
      <c r="F54" s="100"/>
      <c r="G54" s="9"/>
    </row>
    <row r="55" spans="2:8" x14ac:dyDescent="0.25">
      <c r="B55" s="34" t="s">
        <v>32</v>
      </c>
      <c r="C55" s="229"/>
      <c r="D55" s="277">
        <v>1305000000</v>
      </c>
      <c r="E55" s="277">
        <v>1996000000</v>
      </c>
      <c r="F55" s="277">
        <v>2412000000</v>
      </c>
      <c r="G55" s="9"/>
    </row>
    <row r="56" spans="2:8" x14ac:dyDescent="0.25">
      <c r="B56" s="34" t="s">
        <v>33</v>
      </c>
      <c r="C56" s="229"/>
      <c r="D56" s="275">
        <v>9167000000</v>
      </c>
      <c r="E56" s="275">
        <f>+D56+BalanceSheets!G15</f>
        <v>12193000000</v>
      </c>
      <c r="F56" s="275">
        <f>+E56+BalanceSheets!H15</f>
        <v>17051000000</v>
      </c>
      <c r="G56" s="9"/>
    </row>
    <row r="57" spans="2:8" x14ac:dyDescent="0.25">
      <c r="B57" s="33" t="s">
        <v>34</v>
      </c>
      <c r="C57" s="25"/>
      <c r="D57" s="296" t="s">
        <v>79</v>
      </c>
      <c r="E57" s="297"/>
      <c r="F57" s="298"/>
      <c r="G57" s="9"/>
    </row>
    <row r="58" spans="2:8" x14ac:dyDescent="0.25">
      <c r="B58" s="34" t="s">
        <v>35</v>
      </c>
      <c r="C58" s="229"/>
      <c r="D58" s="275">
        <v>68000000</v>
      </c>
      <c r="E58" s="305" t="s">
        <v>79</v>
      </c>
      <c r="F58" s="306"/>
      <c r="G58" s="9"/>
      <c r="H58" s="261" t="s">
        <v>225</v>
      </c>
    </row>
    <row r="59" spans="2:8" x14ac:dyDescent="0.25">
      <c r="B59" s="34" t="s">
        <v>36</v>
      </c>
      <c r="C59" s="229"/>
      <c r="D59" s="275">
        <v>1130000000</v>
      </c>
      <c r="E59" s="305" t="s">
        <v>79</v>
      </c>
      <c r="F59" s="306"/>
      <c r="G59" s="9"/>
      <c r="H59" s="261" t="s">
        <v>225</v>
      </c>
    </row>
    <row r="60" spans="2:8" x14ac:dyDescent="0.25">
      <c r="B60" s="34" t="s">
        <v>37</v>
      </c>
      <c r="C60" s="229"/>
      <c r="D60" s="275">
        <v>7299000000</v>
      </c>
      <c r="E60" s="305" t="s">
        <v>79</v>
      </c>
      <c r="F60" s="306"/>
      <c r="G60" s="9"/>
    </row>
    <row r="61" spans="2:8" x14ac:dyDescent="0.25">
      <c r="B61" s="32"/>
      <c r="C61" s="10"/>
      <c r="D61" s="10"/>
      <c r="E61" s="10"/>
      <c r="F61" s="10"/>
      <c r="G61" s="11"/>
    </row>
    <row r="63" spans="2:8" x14ac:dyDescent="0.25">
      <c r="B63" s="19" t="s">
        <v>39</v>
      </c>
      <c r="C63" s="231"/>
      <c r="D63" s="20"/>
      <c r="E63" s="20"/>
      <c r="F63" s="20"/>
      <c r="G63" s="21"/>
    </row>
    <row r="64" spans="2:8" x14ac:dyDescent="0.25">
      <c r="B64" s="35" t="s">
        <v>0</v>
      </c>
      <c r="C64" s="22"/>
      <c r="D64" s="22"/>
      <c r="E64" s="22"/>
      <c r="F64" s="22"/>
      <c r="G64" s="23"/>
    </row>
    <row r="65" spans="2:8" x14ac:dyDescent="0.25">
      <c r="B65" s="24"/>
      <c r="C65" s="8"/>
      <c r="D65" s="25" t="s">
        <v>74</v>
      </c>
      <c r="E65" s="8"/>
      <c r="G65" s="9"/>
    </row>
    <row r="66" spans="2:8" x14ac:dyDescent="0.25">
      <c r="B66" s="24"/>
      <c r="C66" s="8"/>
      <c r="D66" s="91"/>
      <c r="E66" s="91">
        <f>'Financial Statement Inputs'!E16</f>
        <v>2012</v>
      </c>
      <c r="F66" s="91">
        <f>'Financial Statement Inputs'!F16</f>
        <v>2013</v>
      </c>
      <c r="G66" s="27"/>
    </row>
    <row r="67" spans="2:8" x14ac:dyDescent="0.25">
      <c r="B67" s="36" t="s">
        <v>48</v>
      </c>
      <c r="C67" s="232"/>
      <c r="D67" s="8"/>
      <c r="E67" s="8"/>
      <c r="F67" s="8"/>
      <c r="G67" s="9"/>
    </row>
    <row r="68" spans="2:8" x14ac:dyDescent="0.25">
      <c r="B68" s="34" t="s">
        <v>101</v>
      </c>
      <c r="C68" s="229"/>
      <c r="D68" s="101" t="s">
        <v>102</v>
      </c>
      <c r="E68" s="275">
        <v>-250000000</v>
      </c>
      <c r="F68" s="275">
        <v>-250000000</v>
      </c>
      <c r="G68" s="9"/>
    </row>
    <row r="69" spans="2:8" x14ac:dyDescent="0.25">
      <c r="B69" s="7" t="s">
        <v>51</v>
      </c>
      <c r="C69" s="233"/>
      <c r="D69" s="8"/>
      <c r="E69" s="275">
        <v>250000000</v>
      </c>
      <c r="F69" s="275">
        <v>250000000</v>
      </c>
      <c r="G69" s="9"/>
    </row>
    <row r="70" spans="2:8" x14ac:dyDescent="0.25">
      <c r="B70" s="37"/>
      <c r="C70" s="234"/>
      <c r="D70" s="8"/>
      <c r="E70" s="8"/>
      <c r="F70" s="8"/>
      <c r="G70" s="9"/>
    </row>
    <row r="71" spans="2:8" x14ac:dyDescent="0.25">
      <c r="B71" s="36" t="s">
        <v>64</v>
      </c>
      <c r="C71" s="232"/>
      <c r="D71" s="8"/>
      <c r="E71" s="8"/>
      <c r="F71" s="8"/>
      <c r="G71" s="9"/>
    </row>
    <row r="72" spans="2:8" x14ac:dyDescent="0.25">
      <c r="B72" s="36" t="s">
        <v>226</v>
      </c>
      <c r="C72" s="281">
        <v>0.3</v>
      </c>
      <c r="D72" s="238"/>
      <c r="E72" s="238"/>
      <c r="F72" s="238"/>
      <c r="G72" s="9"/>
      <c r="H72" s="261" t="s">
        <v>227</v>
      </c>
    </row>
    <row r="73" spans="2:8" x14ac:dyDescent="0.25">
      <c r="B73" s="259"/>
      <c r="C73" s="260"/>
      <c r="D73" s="260"/>
      <c r="E73" s="260"/>
      <c r="F73" s="260"/>
      <c r="G73" s="11"/>
      <c r="H73" s="227"/>
    </row>
    <row r="74" spans="2:8" x14ac:dyDescent="0.25">
      <c r="B74"/>
      <c r="C74"/>
      <c r="D74"/>
      <c r="E74"/>
      <c r="F74"/>
      <c r="G74"/>
      <c r="H74" s="227"/>
    </row>
    <row r="75" spans="2:8" x14ac:dyDescent="0.25">
      <c r="B75"/>
      <c r="C75"/>
      <c r="D75"/>
      <c r="E75"/>
      <c r="F75"/>
      <c r="G75"/>
      <c r="H75" s="8"/>
    </row>
  </sheetData>
  <mergeCells count="21">
    <mergeCell ref="B31:G31"/>
    <mergeCell ref="B32:G32"/>
    <mergeCell ref="B13:G13"/>
    <mergeCell ref="B14:G14"/>
    <mergeCell ref="B4:F4"/>
    <mergeCell ref="B5:F5"/>
    <mergeCell ref="D26:F26"/>
    <mergeCell ref="D27:F27"/>
    <mergeCell ref="D24:F24"/>
    <mergeCell ref="D22:F22"/>
    <mergeCell ref="D19:F19"/>
    <mergeCell ref="D53:F53"/>
    <mergeCell ref="E58:F58"/>
    <mergeCell ref="E59:F59"/>
    <mergeCell ref="E60:F60"/>
    <mergeCell ref="D57:F57"/>
    <mergeCell ref="D45:F45"/>
    <mergeCell ref="D43:F43"/>
    <mergeCell ref="D40:F40"/>
    <mergeCell ref="E36:F36"/>
    <mergeCell ref="D33:F33"/>
  </mergeCells>
  <conditionalFormatting sqref="E10">
    <cfRule type="containsText" dxfId="43" priority="17" operator="containsText" text="Error">
      <formula>NOT(ISERROR(SEARCH("Error",E10)))</formula>
    </cfRule>
    <cfRule type="containsText" dxfId="42" priority="18" operator="containsText" text="OK">
      <formula>NOT(ISERROR(SEARCH("OK",E10)))</formula>
    </cfRule>
  </conditionalFormatting>
  <conditionalFormatting sqref="F8">
    <cfRule type="containsText" dxfId="41" priority="29" operator="containsText" text="Error">
      <formula>NOT(ISERROR(SEARCH("Error",F8)))</formula>
    </cfRule>
    <cfRule type="containsText" dxfId="40" priority="30" operator="containsText" text="OK">
      <formula>NOT(ISERROR(SEARCH("OK",F8)))</formula>
    </cfRule>
  </conditionalFormatting>
  <conditionalFormatting sqref="E8">
    <cfRule type="containsText" dxfId="39" priority="27" operator="containsText" text="Error">
      <formula>NOT(ISERROR(SEARCH("Error",E8)))</formula>
    </cfRule>
    <cfRule type="containsText" dxfId="38" priority="28" operator="containsText" text="OK">
      <formula>NOT(ISERROR(SEARCH("OK",E8)))</formula>
    </cfRule>
  </conditionalFormatting>
  <conditionalFormatting sqref="D8">
    <cfRule type="containsText" dxfId="37" priority="25" operator="containsText" text="Error">
      <formula>NOT(ISERROR(SEARCH("Error",D8)))</formula>
    </cfRule>
    <cfRule type="containsText" dxfId="36" priority="26" operator="containsText" text="OK">
      <formula>NOT(ISERROR(SEARCH("OK",D8)))</formula>
    </cfRule>
  </conditionalFormatting>
  <conditionalFormatting sqref="F9">
    <cfRule type="containsText" dxfId="35" priority="23" operator="containsText" text="Error">
      <formula>NOT(ISERROR(SEARCH("Error",F9)))</formula>
    </cfRule>
    <cfRule type="containsText" dxfId="34" priority="24" operator="containsText" text="OK">
      <formula>NOT(ISERROR(SEARCH("OK",F9)))</formula>
    </cfRule>
  </conditionalFormatting>
  <conditionalFormatting sqref="E9">
    <cfRule type="containsText" dxfId="33" priority="21" operator="containsText" text="Error">
      <formula>NOT(ISERROR(SEARCH("Error",E9)))</formula>
    </cfRule>
    <cfRule type="containsText" dxfId="32" priority="22" operator="containsText" text="OK">
      <formula>NOT(ISERROR(SEARCH("OK",E9)))</formula>
    </cfRule>
  </conditionalFormatting>
  <conditionalFormatting sqref="F10">
    <cfRule type="containsText" dxfId="31" priority="19" operator="containsText" text="Error">
      <formula>NOT(ISERROR(SEARCH("Error",F10)))</formula>
    </cfRule>
    <cfRule type="containsText" dxfId="30" priority="20" operator="containsText" text="OK">
      <formula>NOT(ISERROR(SEARCH("OK",F10)))</formula>
    </cfRule>
  </conditionalFormatting>
  <conditionalFormatting sqref="I8">
    <cfRule type="containsText" dxfId="29" priority="15" operator="containsText" text="Error">
      <formula>NOT(ISERROR(SEARCH("Error",I8)))</formula>
    </cfRule>
    <cfRule type="containsText" dxfId="28" priority="16" operator="containsText" text="OK">
      <formula>NOT(ISERROR(SEARCH("OK",I8)))</formula>
    </cfRule>
  </conditionalFormatting>
  <conditionalFormatting sqref="I9">
    <cfRule type="containsText" dxfId="27" priority="9" operator="containsText" text="Error">
      <formula>NOT(ISERROR(SEARCH("Error",I9)))</formula>
    </cfRule>
    <cfRule type="containsText" dxfId="26" priority="10" operator="containsText" text="OK">
      <formula>NOT(ISERROR(SEARCH("OK",I9)))</formula>
    </cfRule>
  </conditionalFormatting>
  <conditionalFormatting sqref="I10">
    <cfRule type="containsText" dxfId="25" priority="5" operator="containsText" text="Error">
      <formula>NOT(ISERROR(SEARCH("Error",I10)))</formula>
    </cfRule>
    <cfRule type="containsText" dxfId="24" priority="6" operator="containsText" text="OK">
      <formula>NOT(ISERROR(SEARCH("OK",I10)))</formula>
    </cfRule>
  </conditionalFormatting>
  <hyperlinks>
    <hyperlink ref="B2" location="'Financial Statement Inputs'!A3" display="Income Statement"/>
    <hyperlink ref="D2:E2" location="'Financial Statement Inputs'!A27" display="Balance Sheet"/>
    <hyperlink ref="F2:G2" location="'Financial Statement Inputs'!A82" display="Cash Flow"/>
  </hyperlink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I39"/>
  <sheetViews>
    <sheetView showGridLines="0" workbookViewId="0">
      <selection activeCell="H7" sqref="H7"/>
    </sheetView>
  </sheetViews>
  <sheetFormatPr defaultColWidth="8.7109375" defaultRowHeight="15" x14ac:dyDescent="0.25"/>
  <cols>
    <col min="1" max="1" width="19.7109375" customWidth="1"/>
    <col min="2" max="5" width="22.7109375" hidden="1" customWidth="1"/>
    <col min="6" max="6" width="9.7109375" customWidth="1"/>
    <col min="7" max="7" width="12.7109375" customWidth="1"/>
    <col min="8" max="8" width="12" customWidth="1"/>
    <col min="9" max="9" width="12.85546875" customWidth="1"/>
  </cols>
  <sheetData>
    <row r="1" spans="1:9" ht="22.9" customHeight="1" x14ac:dyDescent="0.45">
      <c r="A1" s="339" t="s">
        <v>129</v>
      </c>
      <c r="B1" s="339"/>
      <c r="C1" s="339"/>
      <c r="D1" s="339"/>
      <c r="E1" s="339"/>
      <c r="F1" s="334"/>
      <c r="G1" s="334"/>
      <c r="H1" s="334"/>
      <c r="I1" s="334"/>
    </row>
    <row r="2" spans="1:9" s="141" customFormat="1" ht="18.600000000000001" customHeight="1" x14ac:dyDescent="0.4">
      <c r="A2" s="340" t="s">
        <v>88</v>
      </c>
      <c r="B2" s="340"/>
      <c r="C2" s="340"/>
      <c r="D2" s="340"/>
      <c r="E2" s="340"/>
      <c r="F2" s="340"/>
      <c r="G2" s="340"/>
      <c r="H2" s="340"/>
      <c r="I2" s="340"/>
    </row>
    <row r="3" spans="1:9" s="141" customFormat="1" ht="13.15" customHeight="1" x14ac:dyDescent="0.35">
      <c r="A3" s="341" t="str">
        <f>ProjectedCashFlows!A4</f>
        <v>($millions)</v>
      </c>
      <c r="B3" s="341"/>
      <c r="C3" s="341"/>
      <c r="D3" s="341"/>
      <c r="E3" s="341"/>
      <c r="F3" s="341"/>
      <c r="G3" s="341"/>
      <c r="H3" s="341"/>
      <c r="I3" s="341"/>
    </row>
    <row r="4" spans="1:9" s="141" customFormat="1" ht="12" customHeight="1" x14ac:dyDescent="0.3">
      <c r="A4" s="338" t="s">
        <v>1</v>
      </c>
      <c r="B4" s="338"/>
      <c r="C4" s="338"/>
      <c r="D4" s="338"/>
      <c r="E4" s="338"/>
      <c r="F4" s="338"/>
      <c r="G4" s="338"/>
      <c r="H4" s="338"/>
      <c r="I4" s="338"/>
    </row>
    <row r="5" spans="1:9" s="141" customFormat="1" ht="11.45" customHeight="1" x14ac:dyDescent="0.3">
      <c r="A5" s="118"/>
      <c r="B5" s="118"/>
      <c r="C5" s="118"/>
      <c r="D5" s="118"/>
      <c r="E5" s="118"/>
      <c r="F5" s="211">
        <f>'Financial Statement Inputs'!$F$16</f>
        <v>2013</v>
      </c>
      <c r="G5" s="211">
        <f>ProjectedInputs!B6</f>
        <v>2014</v>
      </c>
      <c r="H5" s="211">
        <f>ProjectedInputs!B6</f>
        <v>2014</v>
      </c>
      <c r="I5" s="211">
        <f>H5</f>
        <v>2014</v>
      </c>
    </row>
    <row r="6" spans="1:9" s="141" customFormat="1" ht="12.4" customHeight="1" x14ac:dyDescent="0.3">
      <c r="A6" s="118"/>
      <c r="B6" s="118"/>
      <c r="C6" s="118"/>
      <c r="D6" s="118"/>
      <c r="E6" s="118"/>
      <c r="F6" s="211" t="s">
        <v>126</v>
      </c>
      <c r="G6" s="211" t="s">
        <v>128</v>
      </c>
      <c r="H6" s="211" t="s">
        <v>125</v>
      </c>
      <c r="I6" s="211" t="s">
        <v>127</v>
      </c>
    </row>
    <row r="7" spans="1:9" s="141" customFormat="1" ht="12.6" customHeight="1" x14ac:dyDescent="0.3">
      <c r="A7" s="115" t="s">
        <v>3</v>
      </c>
      <c r="B7" s="115"/>
      <c r="C7" s="115"/>
      <c r="D7" s="115"/>
      <c r="E7" s="115"/>
      <c r="F7" s="109">
        <f>IncomeStatements!F8</f>
        <v>56206000000</v>
      </c>
      <c r="G7" s="212">
        <v>71943680000</v>
      </c>
      <c r="H7" s="109">
        <f>IncomeStatements!F8*(1+ProjectedInputs!B7)</f>
        <v>68346496000</v>
      </c>
      <c r="I7" s="212">
        <v>74191920000</v>
      </c>
    </row>
    <row r="8" spans="1:9" s="141" customFormat="1" ht="13.15" customHeight="1" x14ac:dyDescent="0.3">
      <c r="A8" s="126" t="s">
        <v>4</v>
      </c>
      <c r="B8" s="126"/>
      <c r="C8" s="126"/>
      <c r="D8" s="126"/>
      <c r="E8" s="126"/>
      <c r="F8" s="213">
        <f>IncomeStatements!F9</f>
        <v>36161000000</v>
      </c>
      <c r="G8" s="214">
        <v>46286080000</v>
      </c>
      <c r="H8" s="213">
        <f>H7-(ProjectedInputs!B8*H7)</f>
        <v>43971776000</v>
      </c>
      <c r="I8" s="214">
        <v>47732520000</v>
      </c>
    </row>
    <row r="9" spans="1:9" s="141" customFormat="1" ht="14.45" x14ac:dyDescent="0.3">
      <c r="A9" s="115" t="s">
        <v>14</v>
      </c>
      <c r="B9" s="115"/>
      <c r="C9" s="115"/>
      <c r="D9" s="115"/>
      <c r="E9" s="115"/>
      <c r="F9" s="109">
        <f>IncomeStatements!F10</f>
        <v>20045000000</v>
      </c>
      <c r="G9" s="212">
        <v>25657600000</v>
      </c>
      <c r="H9" s="109">
        <f>H$7-H$8</f>
        <v>24374720000</v>
      </c>
      <c r="I9" s="212">
        <v>26459400000</v>
      </c>
    </row>
    <row r="10" spans="1:9" s="141" customFormat="1" ht="14.45" x14ac:dyDescent="0.3">
      <c r="A10" s="126" t="s">
        <v>5</v>
      </c>
      <c r="B10" s="126"/>
      <c r="C10" s="126"/>
      <c r="D10" s="126"/>
      <c r="E10" s="126"/>
      <c r="F10" s="213">
        <f>IncomeStatements!F11</f>
        <v>13694000000</v>
      </c>
      <c r="G10" s="213">
        <v>18247756799.999996</v>
      </c>
      <c r="H10" s="213">
        <f>H7*ProjectedInputs!B9</f>
        <v>16676545024</v>
      </c>
      <c r="I10" s="213">
        <v>18817999199.999996</v>
      </c>
    </row>
    <row r="11" spans="1:9" s="141" customFormat="1" ht="13.9" customHeight="1" x14ac:dyDescent="0.3">
      <c r="A11" s="215" t="s">
        <v>80</v>
      </c>
      <c r="B11" s="215"/>
      <c r="C11" s="215"/>
      <c r="D11" s="215"/>
      <c r="E11" s="215"/>
      <c r="F11" s="144">
        <f>F9-F10</f>
        <v>6351000000</v>
      </c>
      <c r="G11" s="216">
        <v>7409843200.0000038</v>
      </c>
      <c r="H11" s="144">
        <f>H9-H10</f>
        <v>7698174976</v>
      </c>
      <c r="I11" s="216">
        <v>7641400800.0000038</v>
      </c>
    </row>
    <row r="12" spans="1:9" s="141" customFormat="1" ht="28.15" x14ac:dyDescent="0.3">
      <c r="A12" s="126" t="s">
        <v>71</v>
      </c>
      <c r="B12" s="126"/>
      <c r="C12" s="126"/>
      <c r="D12" s="126"/>
      <c r="E12" s="126"/>
      <c r="F12" s="213">
        <f>IncomeStatements!F13</f>
        <v>1510000000</v>
      </c>
      <c r="G12" s="214">
        <v>1845448143.40589</v>
      </c>
      <c r="H12" s="213">
        <f>BalanceSheets!F15*ProjectedInputs!B10</f>
        <v>1845448143.40589</v>
      </c>
      <c r="I12" s="214">
        <v>1845448143.40589</v>
      </c>
    </row>
    <row r="13" spans="1:9" s="141" customFormat="1" ht="14.45" x14ac:dyDescent="0.3">
      <c r="A13" s="115" t="s">
        <v>13</v>
      </c>
      <c r="B13" s="115"/>
      <c r="C13" s="115"/>
      <c r="D13" s="115"/>
      <c r="E13" s="115"/>
      <c r="F13" s="109">
        <f>F$9-F$10-F$12</f>
        <v>4841000000</v>
      </c>
      <c r="G13" s="212">
        <v>5564395056.5941143</v>
      </c>
      <c r="H13" s="109">
        <f>H$9-H$10-H$12</f>
        <v>5852726832.5941105</v>
      </c>
      <c r="I13" s="212">
        <v>5795952656.5941143</v>
      </c>
    </row>
    <row r="14" spans="1:9" s="141" customFormat="1" ht="13.9" customHeight="1" x14ac:dyDescent="0.3">
      <c r="A14" s="126" t="s">
        <v>7</v>
      </c>
      <c r="B14" s="126"/>
      <c r="C14" s="126"/>
      <c r="D14" s="126"/>
      <c r="E14" s="126"/>
      <c r="F14" s="213">
        <f>IncomeStatements!F15</f>
        <v>684000000</v>
      </c>
      <c r="G14" s="214">
        <v>882949806.94980693</v>
      </c>
      <c r="H14" s="213">
        <f>+SUM(ProjectedBalanceSheet!G25,ProjectedBalanceSheet!G32)*ProjectedInputs!B11</f>
        <v>882949806.94980693</v>
      </c>
      <c r="I14" s="214">
        <v>882949806.94980693</v>
      </c>
    </row>
    <row r="15" spans="1:9" s="141" customFormat="1" thickBot="1" x14ac:dyDescent="0.35">
      <c r="A15" s="115" t="s">
        <v>12</v>
      </c>
      <c r="B15" s="115"/>
      <c r="C15" s="115"/>
      <c r="D15" s="115"/>
      <c r="E15" s="115"/>
      <c r="F15" s="110">
        <f>F13-F14</f>
        <v>4157000000</v>
      </c>
      <c r="G15" s="217">
        <v>4681445249.6443071</v>
      </c>
      <c r="H15" s="110">
        <f>H13-H14</f>
        <v>4969777025.6443033</v>
      </c>
      <c r="I15" s="217">
        <v>4913002849.6443071</v>
      </c>
    </row>
    <row r="16" spans="1:9" s="141" customFormat="1" ht="13.9" customHeight="1" thickTop="1" x14ac:dyDescent="0.3">
      <c r="A16" s="126" t="s">
        <v>8</v>
      </c>
      <c r="B16" s="126"/>
      <c r="C16" s="126"/>
      <c r="D16" s="126"/>
      <c r="E16" s="126"/>
      <c r="F16" s="67">
        <f>IncomeStatements!F17</f>
        <v>1247000000</v>
      </c>
      <c r="G16" s="218">
        <v>1404433574.8932922</v>
      </c>
      <c r="H16" s="67">
        <f>H15*ProjectedInputs!B12</f>
        <v>1490933107.6932909</v>
      </c>
      <c r="I16" s="218">
        <v>1473900854.8932922</v>
      </c>
    </row>
    <row r="17" spans="1:9" s="141" customFormat="1" thickBot="1" x14ac:dyDescent="0.35">
      <c r="A17" s="115" t="s">
        <v>9</v>
      </c>
      <c r="B17" s="115"/>
      <c r="C17" s="115"/>
      <c r="D17" s="115"/>
      <c r="E17" s="115"/>
      <c r="F17" s="110">
        <f>F$15-F$16</f>
        <v>2910000000</v>
      </c>
      <c r="G17" s="217">
        <v>3277011674.7510147</v>
      </c>
      <c r="H17" s="110">
        <f>H$15-H$16</f>
        <v>3478843917.9510126</v>
      </c>
      <c r="I17" s="217">
        <v>3439101994.7510147</v>
      </c>
    </row>
    <row r="18" spans="1:9" s="141" customFormat="1" thickTop="1" x14ac:dyDescent="0.3">
      <c r="A18" s="118" t="s">
        <v>10</v>
      </c>
      <c r="B18" s="118"/>
      <c r="C18" s="118"/>
      <c r="D18" s="118"/>
      <c r="E18" s="118"/>
      <c r="F18" s="112">
        <f>F$17/F$19</f>
        <v>2.91</v>
      </c>
      <c r="G18" s="112">
        <f>G$17/G$19</f>
        <v>3.2770116747510145</v>
      </c>
      <c r="H18" s="112">
        <f>H$17/H$19</f>
        <v>3.4788439179510124</v>
      </c>
      <c r="I18" s="112">
        <f>I$17/I$19</f>
        <v>3.4391019947510149</v>
      </c>
    </row>
    <row r="19" spans="1:9" s="141" customFormat="1" ht="26.45" customHeight="1" thickBot="1" x14ac:dyDescent="0.35">
      <c r="A19" s="146" t="s">
        <v>11</v>
      </c>
      <c r="B19" s="146"/>
      <c r="C19" s="146"/>
      <c r="D19" s="146"/>
      <c r="E19" s="146"/>
      <c r="F19" s="219">
        <f>IncomeStatements!F20</f>
        <v>1000000000</v>
      </c>
      <c r="G19" s="220">
        <v>1000000000</v>
      </c>
      <c r="H19" s="219">
        <f>'Financial Statement Inputs'!D28</f>
        <v>1000000000</v>
      </c>
      <c r="I19" s="220">
        <v>1000000000</v>
      </c>
    </row>
    <row r="20" spans="1:9" s="141" customFormat="1" ht="2.4500000000000002" customHeight="1" thickBot="1" x14ac:dyDescent="0.35">
      <c r="A20" s="124"/>
      <c r="B20" s="124"/>
      <c r="C20" s="124"/>
      <c r="D20" s="124"/>
      <c r="E20" s="124"/>
      <c r="F20" s="250"/>
      <c r="G20" s="253"/>
      <c r="H20" s="250"/>
      <c r="I20" s="253"/>
    </row>
    <row r="21" spans="1:9" s="141" customFormat="1" ht="22.15" customHeight="1" x14ac:dyDescent="0.45">
      <c r="A21" s="337" t="s">
        <v>237</v>
      </c>
      <c r="B21" s="337"/>
      <c r="C21" s="337"/>
      <c r="D21" s="337"/>
      <c r="E21" s="337"/>
      <c r="F21" s="337"/>
      <c r="G21" s="337"/>
      <c r="H21" s="337"/>
      <c r="I21" s="337"/>
    </row>
    <row r="22" spans="1:9" s="141" customFormat="1" ht="13.9" customHeight="1" x14ac:dyDescent="0.3">
      <c r="A22" s="118"/>
      <c r="B22" s="118"/>
      <c r="C22" s="118"/>
      <c r="D22" s="118"/>
      <c r="E22" s="118"/>
      <c r="F22" s="211">
        <f>F5</f>
        <v>2013</v>
      </c>
      <c r="G22" s="211">
        <f>G5</f>
        <v>2014</v>
      </c>
      <c r="H22" s="211">
        <f>H5</f>
        <v>2014</v>
      </c>
      <c r="I22" s="211">
        <f>I5</f>
        <v>2014</v>
      </c>
    </row>
    <row r="23" spans="1:9" s="141" customFormat="1" ht="12.4" customHeight="1" x14ac:dyDescent="0.3">
      <c r="A23" s="118"/>
      <c r="B23" s="118"/>
      <c r="C23" s="118"/>
      <c r="D23" s="118"/>
      <c r="E23" s="118"/>
      <c r="F23" s="211" t="s">
        <v>126</v>
      </c>
      <c r="G23" s="211" t="str">
        <f>G6</f>
        <v xml:space="preserve"> -2%Forecast</v>
      </c>
      <c r="H23" s="211" t="str">
        <f>H6</f>
        <v>Forecast</v>
      </c>
      <c r="I23" s="211" t="str">
        <f>I6</f>
        <v xml:space="preserve"> +2% Forecast</v>
      </c>
    </row>
    <row r="24" spans="1:9" s="141" customFormat="1" ht="14.45" x14ac:dyDescent="0.3">
      <c r="A24" s="115" t="s">
        <v>3</v>
      </c>
      <c r="B24" s="115"/>
      <c r="C24" s="115"/>
      <c r="D24" s="115"/>
      <c r="E24" s="115"/>
      <c r="F24" s="49">
        <f t="shared" ref="F24:F31" si="0">F7</f>
        <v>56206000000</v>
      </c>
      <c r="G24" s="263">
        <f>(G$7/$F$7)-1</f>
        <v>0.28000000000000003</v>
      </c>
      <c r="H24" s="263">
        <f>(H$7/$F$7)-1</f>
        <v>0.21599999999999997</v>
      </c>
      <c r="I24" s="263">
        <f t="shared" ref="I24" si="1">(I$7/$F$7)-1</f>
        <v>0.32000000000000006</v>
      </c>
    </row>
    <row r="25" spans="1:9" s="141" customFormat="1" ht="14.45" x14ac:dyDescent="0.3">
      <c r="A25" s="126" t="s">
        <v>4</v>
      </c>
      <c r="B25" s="126"/>
      <c r="C25" s="126"/>
      <c r="D25" s="126"/>
      <c r="E25" s="126"/>
      <c r="F25" s="213">
        <f t="shared" si="0"/>
        <v>36161000000</v>
      </c>
      <c r="G25" s="267">
        <f>(G$8/$F$8)-1</f>
        <v>0.28000000000000003</v>
      </c>
      <c r="H25" s="267">
        <f>(H$8/$F$8)-1</f>
        <v>0.21599999999999997</v>
      </c>
      <c r="I25" s="267">
        <f t="shared" ref="I25" si="2">(I$8/$F$8)-1</f>
        <v>0.32000000000000006</v>
      </c>
    </row>
    <row r="26" spans="1:9" s="141" customFormat="1" ht="14.45" x14ac:dyDescent="0.3">
      <c r="A26" s="115" t="s">
        <v>14</v>
      </c>
      <c r="B26" s="115"/>
      <c r="C26" s="115"/>
      <c r="D26" s="115"/>
      <c r="E26" s="115"/>
      <c r="F26" s="49">
        <f t="shared" si="0"/>
        <v>20045000000</v>
      </c>
      <c r="G26" s="263">
        <f>(G$9/$F$9)-1</f>
        <v>0.28000000000000003</v>
      </c>
      <c r="H26" s="263">
        <f>(H$9/$F$9)-1</f>
        <v>0.21599999999999997</v>
      </c>
      <c r="I26" s="263">
        <f t="shared" ref="I26" si="3">(I$9/$F$9)-1</f>
        <v>0.32000000000000006</v>
      </c>
    </row>
    <row r="27" spans="1:9" s="141" customFormat="1" ht="14.45" x14ac:dyDescent="0.3">
      <c r="A27" s="126" t="s">
        <v>5</v>
      </c>
      <c r="B27" s="126"/>
      <c r="C27" s="126"/>
      <c r="D27" s="126"/>
      <c r="E27" s="126"/>
      <c r="F27" s="213">
        <f t="shared" si="0"/>
        <v>13694000000</v>
      </c>
      <c r="G27" s="267">
        <f>(G$10/$F$10)-1</f>
        <v>0.33253664378559922</v>
      </c>
      <c r="H27" s="267">
        <f>(H$10/$F$10)-1</f>
        <v>0.21779940295019706</v>
      </c>
      <c r="I27" s="267">
        <f t="shared" ref="I27" si="4">(I$10/$F$10)-1</f>
        <v>0.37417841390389928</v>
      </c>
    </row>
    <row r="28" spans="1:9" s="141" customFormat="1" ht="13.9" customHeight="1" x14ac:dyDescent="0.3">
      <c r="A28" s="215" t="s">
        <v>80</v>
      </c>
      <c r="B28" s="215"/>
      <c r="C28" s="215"/>
      <c r="D28" s="215"/>
      <c r="E28" s="215"/>
      <c r="F28" s="56">
        <f t="shared" si="0"/>
        <v>6351000000</v>
      </c>
      <c r="G28" s="264">
        <f>(G$11/$F$11)-1</f>
        <v>0.16672070540072492</v>
      </c>
      <c r="H28" s="264">
        <f>(H$11/$F$11)-1</f>
        <v>0.21212013478192415</v>
      </c>
      <c r="I28" s="264">
        <f t="shared" ref="I28" si="5">(I$11/$F$11)-1</f>
        <v>0.20318072744449744</v>
      </c>
    </row>
    <row r="29" spans="1:9" s="141" customFormat="1" ht="26.45" customHeight="1" x14ac:dyDescent="0.3">
      <c r="A29" s="126" t="s">
        <v>71</v>
      </c>
      <c r="B29" s="126"/>
      <c r="C29" s="126"/>
      <c r="D29" s="126"/>
      <c r="E29" s="126"/>
      <c r="F29" s="213">
        <f t="shared" si="0"/>
        <v>1510000000</v>
      </c>
      <c r="G29" s="267">
        <f>(G$12/$F$12)-1</f>
        <v>0.22215108834827157</v>
      </c>
      <c r="H29" s="267">
        <f>(H$12/$F$12)-1</f>
        <v>0.22215108834827157</v>
      </c>
      <c r="I29" s="267">
        <f t="shared" ref="I29" si="6">(I$12/$F$12)-1</f>
        <v>0.22215108834827157</v>
      </c>
    </row>
    <row r="30" spans="1:9" s="141" customFormat="1" ht="14.45" x14ac:dyDescent="0.3">
      <c r="A30" s="115" t="s">
        <v>13</v>
      </c>
      <c r="B30" s="115"/>
      <c r="C30" s="115"/>
      <c r="D30" s="115"/>
      <c r="E30" s="115"/>
      <c r="F30" s="49">
        <f t="shared" si="0"/>
        <v>4841000000</v>
      </c>
      <c r="G30" s="263">
        <f>(G$13/$F$13)-1</f>
        <v>0.14943091439663592</v>
      </c>
      <c r="H30" s="263">
        <f>(H$13/$F$13)-1</f>
        <v>0.20899128952574064</v>
      </c>
      <c r="I30" s="263">
        <f t="shared" ref="I30" si="7">(I$13/$F$13)-1</f>
        <v>0.1972635109675922</v>
      </c>
    </row>
    <row r="31" spans="1:9" s="141" customFormat="1" ht="13.15" customHeight="1" x14ac:dyDescent="0.3">
      <c r="A31" s="126" t="s">
        <v>7</v>
      </c>
      <c r="B31" s="126"/>
      <c r="C31" s="126"/>
      <c r="D31" s="126"/>
      <c r="E31" s="126"/>
      <c r="F31" s="213">
        <f t="shared" si="0"/>
        <v>684000000</v>
      </c>
      <c r="G31" s="267">
        <f>(G$14/$F$14)-1</f>
        <v>0.29086229086229087</v>
      </c>
      <c r="H31" s="267">
        <f>(H$14/$F$14)-1</f>
        <v>0.29086229086229087</v>
      </c>
      <c r="I31" s="267">
        <f t="shared" ref="I31" si="8">(I$14/$F$14)-1</f>
        <v>0.29086229086229087</v>
      </c>
    </row>
    <row r="32" spans="1:9" s="141" customFormat="1" thickBot="1" x14ac:dyDescent="0.35">
      <c r="A32" s="115" t="s">
        <v>12</v>
      </c>
      <c r="B32" s="115"/>
      <c r="C32" s="115"/>
      <c r="D32" s="115"/>
      <c r="E32" s="115"/>
      <c r="F32" s="51">
        <v>4157000000</v>
      </c>
      <c r="G32" s="265">
        <f>(G$15/$F$15)-1</f>
        <v>0.12615955007079793</v>
      </c>
      <c r="H32" s="265">
        <f>(H$15/$F$15)-1</f>
        <v>0.19552009276985882</v>
      </c>
      <c r="I32" s="265">
        <f t="shared" ref="I32" si="9">(I$15/$F$15)-1</f>
        <v>0.18186260515860164</v>
      </c>
    </row>
    <row r="33" spans="1:9" s="141" customFormat="1" ht="13.9" customHeight="1" thickTop="1" x14ac:dyDescent="0.3">
      <c r="A33" s="126" t="s">
        <v>8</v>
      </c>
      <c r="B33" s="126"/>
      <c r="C33" s="126"/>
      <c r="D33" s="126"/>
      <c r="E33" s="126"/>
      <c r="F33" s="67">
        <f>F16</f>
        <v>1247000000</v>
      </c>
      <c r="G33" s="268">
        <f>(G$16/$F$16)-1</f>
        <v>0.12624985957762003</v>
      </c>
      <c r="H33" s="268">
        <f>(H$16/$F$16)-1</f>
        <v>0.19561596446935914</v>
      </c>
      <c r="I33" s="268">
        <f t="shared" ref="I33" si="10">(I$16/$F$16)-1</f>
        <v>0.18195738163054709</v>
      </c>
    </row>
    <row r="34" spans="1:9" s="141" customFormat="1" thickBot="1" x14ac:dyDescent="0.35">
      <c r="A34" s="115" t="s">
        <v>9</v>
      </c>
      <c r="B34" s="115"/>
      <c r="C34" s="115"/>
      <c r="D34" s="115"/>
      <c r="E34" s="115"/>
      <c r="F34" s="51">
        <f>F17</f>
        <v>2910000000</v>
      </c>
      <c r="G34" s="265">
        <f>(G$17/$F$17)-1</f>
        <v>0.12612085042990206</v>
      </c>
      <c r="H34" s="265">
        <f>(H$17/$F$17)-1</f>
        <v>0.19547900960515907</v>
      </c>
      <c r="I34" s="265">
        <f t="shared" ref="I34" si="11">(I$17/$F$17)-1</f>
        <v>0.18182199132337273</v>
      </c>
    </row>
    <row r="35" spans="1:9" s="141" customFormat="1" ht="14.45" customHeight="1" thickTop="1" x14ac:dyDescent="0.3">
      <c r="A35" s="118" t="s">
        <v>10</v>
      </c>
      <c r="B35" s="118"/>
      <c r="C35" s="118"/>
      <c r="D35" s="118"/>
      <c r="E35" s="118"/>
      <c r="F35" s="112">
        <f>F18</f>
        <v>2.91</v>
      </c>
      <c r="G35" s="269">
        <f>(G$18/$F$18)-1</f>
        <v>0.12612085042990184</v>
      </c>
      <c r="H35" s="269">
        <f>(H$18/$F$18)-1</f>
        <v>0.19547900960515885</v>
      </c>
      <c r="I35" s="269">
        <f t="shared" ref="I35" si="12">(I$18/$F$18)-1</f>
        <v>0.18182199132337273</v>
      </c>
    </row>
    <row r="36" spans="1:9" s="141" customFormat="1" ht="26.45" customHeight="1" thickBot="1" x14ac:dyDescent="0.35">
      <c r="A36" s="146" t="s">
        <v>11</v>
      </c>
      <c r="B36" s="146"/>
      <c r="C36" s="146"/>
      <c r="D36" s="146"/>
      <c r="E36" s="146"/>
      <c r="F36" s="60">
        <f>F19</f>
        <v>1000000000</v>
      </c>
      <c r="G36" s="266">
        <f>(G$19/$F$19)-1</f>
        <v>0</v>
      </c>
      <c r="H36" s="266">
        <f>(H$19/$F$19)-1</f>
        <v>0</v>
      </c>
      <c r="I36" s="266">
        <f t="shared" ref="I36" si="13">(I$19/$F$19)-1</f>
        <v>0</v>
      </c>
    </row>
    <row r="37" spans="1:9" s="141" customFormat="1" ht="14.45" x14ac:dyDescent="0.3"/>
    <row r="38" spans="1:9" s="141" customFormat="1" ht="14.45" x14ac:dyDescent="0.3"/>
    <row r="39" spans="1:9" s="141" customFormat="1" x14ac:dyDescent="0.25"/>
  </sheetData>
  <mergeCells count="5">
    <mergeCell ref="A21:I21"/>
    <mergeCell ref="A4:I4"/>
    <mergeCell ref="A1:I1"/>
    <mergeCell ref="A2:I2"/>
    <mergeCell ref="A3:I3"/>
  </mergeCells>
  <pageMargins left="0.7" right="0.7" top="0.75" bottom="0.75" header="0.3" footer="0.3"/>
  <pageSetup orientation="portrait"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I36"/>
  <sheetViews>
    <sheetView showGridLines="0" workbookViewId="0">
      <selection activeCell="H9" sqref="H9"/>
    </sheetView>
  </sheetViews>
  <sheetFormatPr defaultColWidth="8.7109375" defaultRowHeight="15" x14ac:dyDescent="0.25"/>
  <cols>
    <col min="1" max="1" width="19.7109375" customWidth="1"/>
    <col min="2" max="5" width="19.7109375" hidden="1" customWidth="1"/>
    <col min="6" max="6" width="10.7109375" customWidth="1"/>
    <col min="7" max="7" width="12.7109375" customWidth="1"/>
    <col min="8" max="8" width="11.140625" customWidth="1"/>
    <col min="9" max="9" width="12.42578125" customWidth="1"/>
  </cols>
  <sheetData>
    <row r="1" spans="1:9" ht="22.15" customHeight="1" x14ac:dyDescent="0.45">
      <c r="A1" s="339" t="s">
        <v>129</v>
      </c>
      <c r="B1" s="339"/>
      <c r="C1" s="339"/>
      <c r="D1" s="339"/>
      <c r="E1" s="339"/>
      <c r="F1" s="334"/>
      <c r="G1" s="334"/>
      <c r="H1" s="334"/>
      <c r="I1" s="334"/>
    </row>
    <row r="2" spans="1:9" ht="14.45" customHeight="1" x14ac:dyDescent="0.3">
      <c r="A2" s="343" t="s">
        <v>88</v>
      </c>
      <c r="B2" s="343"/>
      <c r="C2" s="343"/>
      <c r="D2" s="343"/>
      <c r="E2" s="343"/>
      <c r="F2" s="343"/>
      <c r="G2" s="343"/>
      <c r="H2" s="343"/>
      <c r="I2" s="343"/>
    </row>
    <row r="3" spans="1:9" ht="11.45" customHeight="1" x14ac:dyDescent="0.3">
      <c r="A3" s="344" t="s">
        <v>89</v>
      </c>
      <c r="B3" s="344"/>
      <c r="C3" s="344"/>
      <c r="D3" s="344"/>
      <c r="E3" s="344"/>
      <c r="F3" s="344"/>
      <c r="G3" s="344"/>
      <c r="H3" s="344"/>
      <c r="I3" s="344"/>
    </row>
    <row r="4" spans="1:9" ht="12" customHeight="1" x14ac:dyDescent="0.3">
      <c r="A4" s="342" t="s">
        <v>1</v>
      </c>
      <c r="B4" s="342"/>
      <c r="C4" s="342"/>
      <c r="D4" s="342"/>
      <c r="E4" s="342"/>
      <c r="F4" s="342"/>
      <c r="G4" s="342"/>
      <c r="H4" s="342"/>
      <c r="I4" s="342"/>
    </row>
    <row r="5" spans="1:9" ht="12" customHeight="1" x14ac:dyDescent="0.3">
      <c r="A5" s="73"/>
      <c r="B5" s="73"/>
      <c r="C5" s="73"/>
      <c r="D5" s="73"/>
      <c r="E5" s="73"/>
      <c r="F5" s="84">
        <f>'Financial Statement Inputs'!$F$16</f>
        <v>2013</v>
      </c>
      <c r="G5" s="84">
        <f>H5</f>
        <v>2014</v>
      </c>
      <c r="H5" s="84">
        <v>2014</v>
      </c>
      <c r="I5" s="84">
        <f>H5</f>
        <v>2014</v>
      </c>
    </row>
    <row r="6" spans="1:9" ht="12" customHeight="1" x14ac:dyDescent="0.3">
      <c r="A6" s="73"/>
      <c r="B6" s="73"/>
      <c r="C6" s="73"/>
      <c r="D6" s="73"/>
      <c r="E6" s="73"/>
      <c r="F6" s="84" t="s">
        <v>126</v>
      </c>
      <c r="G6" s="84" t="s">
        <v>130</v>
      </c>
      <c r="H6" s="84" t="s">
        <v>131</v>
      </c>
      <c r="I6" s="84" t="s">
        <v>132</v>
      </c>
    </row>
    <row r="7" spans="1:9" ht="14.45" x14ac:dyDescent="0.3">
      <c r="A7" s="54" t="s">
        <v>3</v>
      </c>
      <c r="B7" s="54"/>
      <c r="C7" s="54"/>
      <c r="D7" s="54"/>
      <c r="E7" s="54"/>
      <c r="F7" s="49">
        <f>IncomeStatements!F8</f>
        <v>56206000000</v>
      </c>
      <c r="G7" s="69">
        <v>50585400000</v>
      </c>
      <c r="H7" s="69">
        <v>68346496000</v>
      </c>
      <c r="I7" s="69">
        <v>73067800000</v>
      </c>
    </row>
    <row r="8" spans="1:9" ht="14.45" x14ac:dyDescent="0.3">
      <c r="A8" s="75" t="s">
        <v>4</v>
      </c>
      <c r="B8" s="75"/>
      <c r="C8" s="75"/>
      <c r="D8" s="75"/>
      <c r="E8" s="75"/>
      <c r="F8" s="76">
        <f>IncomeStatements!F9</f>
        <v>36161000000</v>
      </c>
      <c r="G8" s="270">
        <v>32544900000</v>
      </c>
      <c r="H8" s="270">
        <v>43971776000</v>
      </c>
      <c r="I8" s="270">
        <v>45302036000</v>
      </c>
    </row>
    <row r="9" spans="1:9" ht="14.45" x14ac:dyDescent="0.3">
      <c r="A9" s="54" t="s">
        <v>14</v>
      </c>
      <c r="B9" s="54"/>
      <c r="C9" s="54"/>
      <c r="D9" s="54"/>
      <c r="E9" s="54"/>
      <c r="F9" s="49">
        <f>IncomeStatements!F10</f>
        <v>20045000000</v>
      </c>
      <c r="G9" s="69">
        <v>18040500000</v>
      </c>
      <c r="H9" s="69">
        <v>24374720000</v>
      </c>
      <c r="I9" s="69">
        <v>27765764000</v>
      </c>
    </row>
    <row r="10" spans="1:9" ht="14.45" x14ac:dyDescent="0.3">
      <c r="A10" s="75" t="s">
        <v>5</v>
      </c>
      <c r="B10" s="75"/>
      <c r="C10" s="75"/>
      <c r="D10" s="75"/>
      <c r="E10" s="75"/>
      <c r="F10" s="76">
        <f>IncomeStatements!F11</f>
        <v>13694000000</v>
      </c>
      <c r="G10" s="270">
        <v>12324599999.999996</v>
      </c>
      <c r="H10" s="270">
        <v>16676545024</v>
      </c>
      <c r="I10" s="270">
        <v>17802199999.999996</v>
      </c>
    </row>
    <row r="11" spans="1:9" ht="14.45" x14ac:dyDescent="0.3">
      <c r="A11" s="55" t="s">
        <v>80</v>
      </c>
      <c r="B11" s="55"/>
      <c r="C11" s="55"/>
      <c r="D11" s="55"/>
      <c r="E11" s="55"/>
      <c r="F11" s="56">
        <f>F9-F10</f>
        <v>6351000000</v>
      </c>
      <c r="G11" s="70">
        <v>5715900000.0000038</v>
      </c>
      <c r="H11" s="70">
        <v>7698174976</v>
      </c>
      <c r="I11" s="70">
        <v>9963564000.0000038</v>
      </c>
    </row>
    <row r="12" spans="1:9" ht="26.45" customHeight="1" x14ac:dyDescent="0.3">
      <c r="A12" s="75" t="s">
        <v>71</v>
      </c>
      <c r="B12" s="75"/>
      <c r="C12" s="75"/>
      <c r="D12" s="75"/>
      <c r="E12" s="75"/>
      <c r="F12" s="76">
        <f>IncomeStatements!F13</f>
        <v>1510000000</v>
      </c>
      <c r="G12" s="270">
        <v>1845448143.40589</v>
      </c>
      <c r="H12" s="270">
        <v>1845448143.40589</v>
      </c>
      <c r="I12" s="270">
        <v>1845448143.40589</v>
      </c>
    </row>
    <row r="13" spans="1:9" ht="14.45" x14ac:dyDescent="0.3">
      <c r="A13" s="54" t="s">
        <v>13</v>
      </c>
      <c r="B13" s="54"/>
      <c r="C13" s="54"/>
      <c r="D13" s="54"/>
      <c r="E13" s="54"/>
      <c r="F13" s="49">
        <f>F$9-F$10-F$12</f>
        <v>4841000000</v>
      </c>
      <c r="G13" s="69">
        <v>3870451856.5941138</v>
      </c>
      <c r="H13" s="69">
        <v>5852726832.5941105</v>
      </c>
      <c r="I13" s="69">
        <v>8118115856.5941143</v>
      </c>
    </row>
    <row r="14" spans="1:9" ht="13.15" customHeight="1" x14ac:dyDescent="0.3">
      <c r="A14" s="75" t="s">
        <v>7</v>
      </c>
      <c r="B14" s="75"/>
      <c r="C14" s="75"/>
      <c r="D14" s="75"/>
      <c r="E14" s="75"/>
      <c r="F14" s="76">
        <f>IncomeStatements!F15</f>
        <v>684000000</v>
      </c>
      <c r="G14" s="270">
        <v>596785000</v>
      </c>
      <c r="H14" s="270">
        <v>882949806.94980693</v>
      </c>
      <c r="I14" s="270">
        <v>1074213000</v>
      </c>
    </row>
    <row r="15" spans="1:9" thickBot="1" x14ac:dyDescent="0.35">
      <c r="A15" s="54" t="s">
        <v>12</v>
      </c>
      <c r="B15" s="54"/>
      <c r="C15" s="54"/>
      <c r="D15" s="54"/>
      <c r="E15" s="54"/>
      <c r="F15" s="51">
        <f>F13-F14</f>
        <v>4157000000</v>
      </c>
      <c r="G15" s="71">
        <v>3273666856.5941138</v>
      </c>
      <c r="H15" s="71">
        <v>4969777025.6443033</v>
      </c>
      <c r="I15" s="71">
        <v>7043902856.5941143</v>
      </c>
    </row>
    <row r="16" spans="1:9" thickTop="1" x14ac:dyDescent="0.3">
      <c r="A16" s="75" t="s">
        <v>8</v>
      </c>
      <c r="B16" s="75"/>
      <c r="C16" s="75"/>
      <c r="D16" s="75"/>
      <c r="E16" s="75"/>
      <c r="F16" s="78">
        <f>IncomeStatements!F17</f>
        <v>1247000000</v>
      </c>
      <c r="G16" s="271">
        <v>982100056.97823405</v>
      </c>
      <c r="H16" s="271">
        <v>1490933107.6932909</v>
      </c>
      <c r="I16" s="271">
        <v>2254048914.1101165</v>
      </c>
    </row>
    <row r="17" spans="1:9" thickBot="1" x14ac:dyDescent="0.35">
      <c r="A17" s="54" t="s">
        <v>9</v>
      </c>
      <c r="B17" s="54"/>
      <c r="C17" s="54"/>
      <c r="D17" s="54"/>
      <c r="E17" s="54"/>
      <c r="F17" s="51">
        <f>F$15-F$16</f>
        <v>2910000000</v>
      </c>
      <c r="G17" s="71">
        <v>2291566799.61588</v>
      </c>
      <c r="H17" s="71">
        <v>3478843917.9510126</v>
      </c>
      <c r="I17" s="71">
        <v>4789853942.4839973</v>
      </c>
    </row>
    <row r="18" spans="1:9" thickTop="1" x14ac:dyDescent="0.3">
      <c r="A18" s="73" t="s">
        <v>10</v>
      </c>
      <c r="B18" s="73"/>
      <c r="C18" s="73"/>
      <c r="D18" s="73"/>
      <c r="E18" s="73"/>
      <c r="F18" s="74">
        <f>IncomeStatements!F21</f>
        <v>2.91</v>
      </c>
      <c r="G18" s="80">
        <v>2.2915667996158802</v>
      </c>
      <c r="H18" s="80">
        <v>3.4788439179510124</v>
      </c>
      <c r="I18" s="80">
        <v>4.7898539424839974</v>
      </c>
    </row>
    <row r="19" spans="1:9" ht="27.4" customHeight="1" thickBot="1" x14ac:dyDescent="0.35">
      <c r="A19" s="59" t="s">
        <v>11</v>
      </c>
      <c r="B19" s="59"/>
      <c r="C19" s="59"/>
      <c r="D19" s="59"/>
      <c r="E19" s="59"/>
      <c r="F19" s="60">
        <f>IncomeStatements!F20</f>
        <v>1000000000</v>
      </c>
      <c r="G19" s="72">
        <v>1000000000</v>
      </c>
      <c r="H19" s="72">
        <v>1000000000</v>
      </c>
      <c r="I19" s="72">
        <v>1000000000</v>
      </c>
    </row>
    <row r="20" spans="1:9" ht="1.9" customHeight="1" thickBot="1" x14ac:dyDescent="0.35">
      <c r="A20" s="254"/>
      <c r="B20" s="254"/>
      <c r="C20" s="254"/>
      <c r="D20" s="254"/>
      <c r="E20" s="254"/>
      <c r="F20" s="255"/>
      <c r="G20" s="256"/>
      <c r="H20" s="256"/>
      <c r="I20" s="256"/>
    </row>
    <row r="21" spans="1:9" ht="23.45" customHeight="1" x14ac:dyDescent="0.45">
      <c r="A21" s="337" t="str">
        <f>IncomeSensitivity!A21</f>
        <v>% Change: 2013-2014</v>
      </c>
      <c r="B21" s="337"/>
      <c r="C21" s="337"/>
      <c r="D21" s="337"/>
      <c r="E21" s="337"/>
      <c r="F21" s="337"/>
      <c r="G21" s="337"/>
      <c r="H21" s="337"/>
      <c r="I21" s="337"/>
    </row>
    <row r="22" spans="1:9" ht="13.9" customHeight="1" x14ac:dyDescent="0.3">
      <c r="A22" s="73"/>
      <c r="B22" s="73"/>
      <c r="C22" s="73"/>
      <c r="D22" s="73"/>
      <c r="E22" s="73"/>
      <c r="F22" s="84">
        <v>2013</v>
      </c>
      <c r="G22" s="84">
        <v>2014</v>
      </c>
      <c r="H22" s="84">
        <v>2014</v>
      </c>
      <c r="I22" s="84">
        <v>2014</v>
      </c>
    </row>
    <row r="23" spans="1:9" ht="12.4" customHeight="1" x14ac:dyDescent="0.3">
      <c r="A23" s="73"/>
      <c r="B23" s="73"/>
      <c r="C23" s="73"/>
      <c r="D23" s="73"/>
      <c r="E23" s="73"/>
      <c r="F23" s="84" t="s">
        <v>126</v>
      </c>
      <c r="G23" s="84" t="str">
        <f>G6</f>
        <v xml:space="preserve"> Worst Case</v>
      </c>
      <c r="H23" s="84" t="str">
        <f>H6</f>
        <v>Base Case</v>
      </c>
      <c r="I23" s="84" t="str">
        <f>I6</f>
        <v xml:space="preserve"> Best Case</v>
      </c>
    </row>
    <row r="24" spans="1:9" ht="14.45" x14ac:dyDescent="0.3">
      <c r="A24" s="54" t="s">
        <v>3</v>
      </c>
      <c r="B24" s="54"/>
      <c r="C24" s="54"/>
      <c r="D24" s="54"/>
      <c r="E24" s="54"/>
      <c r="F24" s="49">
        <f t="shared" ref="F24:F31" si="0">F7</f>
        <v>56206000000</v>
      </c>
      <c r="G24" s="183">
        <f>(G$7/$F$7)-1</f>
        <v>-9.9999999999999978E-2</v>
      </c>
      <c r="H24" s="183">
        <f>(H$7/$F$7)-1</f>
        <v>0.21599999999999997</v>
      </c>
      <c r="I24" s="183">
        <f t="shared" ref="I24" si="1">(I$7/$F$7)-1</f>
        <v>0.30000000000000004</v>
      </c>
    </row>
    <row r="25" spans="1:9" ht="14.45" x14ac:dyDescent="0.3">
      <c r="A25" s="75" t="s">
        <v>4</v>
      </c>
      <c r="B25" s="75"/>
      <c r="C25" s="75"/>
      <c r="D25" s="75"/>
      <c r="E25" s="75"/>
      <c r="F25" s="76">
        <f t="shared" si="0"/>
        <v>36161000000</v>
      </c>
      <c r="G25" s="184">
        <f>(G$8/$F$8)-1</f>
        <v>-9.9999999999999978E-2</v>
      </c>
      <c r="H25" s="184">
        <f>(H$8/$F$8)-1</f>
        <v>0.21599999999999997</v>
      </c>
      <c r="I25" s="184">
        <f t="shared" ref="I25" si="2">(I$8/$F$8)-1</f>
        <v>0.25278714637316435</v>
      </c>
    </row>
    <row r="26" spans="1:9" ht="14.45" x14ac:dyDescent="0.3">
      <c r="A26" s="54" t="s">
        <v>14</v>
      </c>
      <c r="B26" s="54"/>
      <c r="C26" s="54"/>
      <c r="D26" s="54"/>
      <c r="E26" s="54"/>
      <c r="F26" s="49">
        <f t="shared" si="0"/>
        <v>20045000000</v>
      </c>
      <c r="G26" s="183">
        <f>(G$9/$F$9)-1</f>
        <v>-9.9999999999999978E-2</v>
      </c>
      <c r="H26" s="183">
        <f>(H$9/$F$9)-1</f>
        <v>0.21599999999999997</v>
      </c>
      <c r="I26" s="183">
        <f t="shared" ref="I26" si="3">(I$9/$F$9)-1</f>
        <v>0.38517156398104269</v>
      </c>
    </row>
    <row r="27" spans="1:9" ht="12.6" customHeight="1" x14ac:dyDescent="0.3">
      <c r="A27" s="75" t="s">
        <v>5</v>
      </c>
      <c r="B27" s="75"/>
      <c r="C27" s="75"/>
      <c r="D27" s="75"/>
      <c r="E27" s="75"/>
      <c r="F27" s="76">
        <f t="shared" si="0"/>
        <v>13694000000</v>
      </c>
      <c r="G27" s="184">
        <f>(G$10/$F$10)-1</f>
        <v>-0.10000000000000031</v>
      </c>
      <c r="H27" s="184">
        <f>(H$10/$F$10)-1</f>
        <v>0.21779940295019706</v>
      </c>
      <c r="I27" s="184">
        <f t="shared" ref="I27" si="4">(I$10/$F$10)-1</f>
        <v>0.29999999999999982</v>
      </c>
    </row>
    <row r="28" spans="1:9" ht="12.4" customHeight="1" x14ac:dyDescent="0.3">
      <c r="A28" s="55" t="s">
        <v>80</v>
      </c>
      <c r="B28" s="55"/>
      <c r="C28" s="55"/>
      <c r="D28" s="55"/>
      <c r="E28" s="55"/>
      <c r="F28" s="56">
        <f t="shared" si="0"/>
        <v>6351000000</v>
      </c>
      <c r="G28" s="185">
        <f>(G$11/$F$11)-1</f>
        <v>-9.9999999999999423E-2</v>
      </c>
      <c r="H28" s="185">
        <f>(H$11/$F$11)-1</f>
        <v>0.21212013478192415</v>
      </c>
      <c r="I28" s="185">
        <f t="shared" ref="I28" si="5">(I$11/$F$11)-1</f>
        <v>0.56881813887576826</v>
      </c>
    </row>
    <row r="29" spans="1:9" ht="27" customHeight="1" x14ac:dyDescent="0.3">
      <c r="A29" s="75" t="s">
        <v>71</v>
      </c>
      <c r="B29" s="75"/>
      <c r="C29" s="75"/>
      <c r="D29" s="75"/>
      <c r="E29" s="75"/>
      <c r="F29" s="76">
        <f t="shared" si="0"/>
        <v>1510000000</v>
      </c>
      <c r="G29" s="184">
        <f>(G$12/$F$12)-1</f>
        <v>0.22215108834827157</v>
      </c>
      <c r="H29" s="184">
        <f>(H$12/$F$12)-1</f>
        <v>0.22215108834827157</v>
      </c>
      <c r="I29" s="184">
        <f t="shared" ref="I29" si="6">(I$12/$F$12)-1</f>
        <v>0.22215108834827157</v>
      </c>
    </row>
    <row r="30" spans="1:9" ht="14.45" x14ac:dyDescent="0.3">
      <c r="A30" s="54" t="s">
        <v>13</v>
      </c>
      <c r="B30" s="54"/>
      <c r="C30" s="54"/>
      <c r="D30" s="54"/>
      <c r="E30" s="54"/>
      <c r="F30" s="49">
        <f t="shared" si="0"/>
        <v>4841000000</v>
      </c>
      <c r="G30" s="183">
        <f>(G$13/$F$13)-1</f>
        <v>-0.20048505337861722</v>
      </c>
      <c r="H30" s="183">
        <f>(H$13/$F$13)-1</f>
        <v>0.20899128952574064</v>
      </c>
      <c r="I30" s="183">
        <f t="shared" ref="I30" si="7">(I$13/$F$13)-1</f>
        <v>0.67695018727414058</v>
      </c>
    </row>
    <row r="31" spans="1:9" ht="14.45" x14ac:dyDescent="0.3">
      <c r="A31" s="75" t="s">
        <v>7</v>
      </c>
      <c r="B31" s="75"/>
      <c r="C31" s="75"/>
      <c r="D31" s="75"/>
      <c r="E31" s="75"/>
      <c r="F31" s="76">
        <f t="shared" si="0"/>
        <v>684000000</v>
      </c>
      <c r="G31" s="184">
        <f>(G$14/$F$14)-1</f>
        <v>-0.12750730994152049</v>
      </c>
      <c r="H31" s="184">
        <f>(H$14/$F$14)-1</f>
        <v>0.29086229086229087</v>
      </c>
      <c r="I31" s="184">
        <f t="shared" ref="I31" si="8">(I$14/$F$14)-1</f>
        <v>0.57048684210526313</v>
      </c>
    </row>
    <row r="32" spans="1:9" ht="13.15" customHeight="1" thickBot="1" x14ac:dyDescent="0.35">
      <c r="A32" s="54" t="s">
        <v>12</v>
      </c>
      <c r="B32" s="54"/>
      <c r="C32" s="54"/>
      <c r="D32" s="54"/>
      <c r="E32" s="54"/>
      <c r="F32" s="51">
        <v>4157000000</v>
      </c>
      <c r="G32" s="183">
        <f>(G$15/$F$15)-1</f>
        <v>-0.21249293803365077</v>
      </c>
      <c r="H32" s="183">
        <f>(H$15/$F$15)-1</f>
        <v>0.19552009276985882</v>
      </c>
      <c r="I32" s="183">
        <f t="shared" ref="I32" si="9">(I$15/$F$15)-1</f>
        <v>0.69446785099690023</v>
      </c>
    </row>
    <row r="33" spans="1:9" thickTop="1" x14ac:dyDescent="0.3">
      <c r="A33" s="75" t="s">
        <v>8</v>
      </c>
      <c r="B33" s="75"/>
      <c r="C33" s="75"/>
      <c r="D33" s="75"/>
      <c r="E33" s="75"/>
      <c r="F33" s="78">
        <f>F16</f>
        <v>1247000000</v>
      </c>
      <c r="G33" s="184">
        <f>(G$16/$F$16)-1</f>
        <v>-0.2124297859035813</v>
      </c>
      <c r="H33" s="184">
        <f>(H$16/$F$16)-1</f>
        <v>0.19561596446935914</v>
      </c>
      <c r="I33" s="184">
        <f t="shared" ref="I33" si="10">(I$16/$F$16)-1</f>
        <v>0.80757731684852962</v>
      </c>
    </row>
    <row r="34" spans="1:9" thickBot="1" x14ac:dyDescent="0.35">
      <c r="A34" s="54" t="s">
        <v>9</v>
      </c>
      <c r="B34" s="54"/>
      <c r="C34" s="54"/>
      <c r="D34" s="54"/>
      <c r="E34" s="54"/>
      <c r="F34" s="51">
        <f>F17</f>
        <v>2910000000</v>
      </c>
      <c r="G34" s="183">
        <f>(G$17/$F$17)-1</f>
        <v>-0.21252000013200001</v>
      </c>
      <c r="H34" s="183">
        <f>(H$17/$F$17)-1</f>
        <v>0.19547900960515907</v>
      </c>
      <c r="I34" s="183">
        <f t="shared" ref="I34" si="11">(I$17/$F$17)-1</f>
        <v>0.64599791837938048</v>
      </c>
    </row>
    <row r="35" spans="1:9" ht="13.15" customHeight="1" thickTop="1" x14ac:dyDescent="0.3">
      <c r="A35" s="73" t="s">
        <v>10</v>
      </c>
      <c r="B35" s="73"/>
      <c r="C35" s="73"/>
      <c r="D35" s="73"/>
      <c r="E35" s="73"/>
      <c r="F35" s="74">
        <f>F18</f>
        <v>2.91</v>
      </c>
      <c r="G35" s="186">
        <f>(G$18/$F$18)-1</f>
        <v>-0.21252000013200001</v>
      </c>
      <c r="H35" s="186">
        <f>(H$18/$F$18)-1</f>
        <v>0.19547900960515885</v>
      </c>
      <c r="I35" s="186">
        <f t="shared" ref="I35" si="12">(I$18/$F$18)-1</f>
        <v>0.64599791837938048</v>
      </c>
    </row>
    <row r="36" spans="1:9" ht="27.4" customHeight="1" thickBot="1" x14ac:dyDescent="0.35">
      <c r="A36" s="59" t="s">
        <v>11</v>
      </c>
      <c r="B36" s="59"/>
      <c r="C36" s="59"/>
      <c r="D36" s="59"/>
      <c r="E36" s="59"/>
      <c r="F36" s="60">
        <f>F19</f>
        <v>1000000000</v>
      </c>
      <c r="G36" s="187">
        <f>(G$19/$F$19)-1</f>
        <v>0</v>
      </c>
      <c r="H36" s="187">
        <f>(H$19/$F$19)-1</f>
        <v>0</v>
      </c>
      <c r="I36" s="187">
        <f t="shared" ref="I36" si="13">(I$19/$F$19)-1</f>
        <v>0</v>
      </c>
    </row>
  </sheetData>
  <mergeCells count="5">
    <mergeCell ref="A21:I21"/>
    <mergeCell ref="A4:I4"/>
    <mergeCell ref="A1:I1"/>
    <mergeCell ref="A2:I2"/>
    <mergeCell ref="A3:I3"/>
  </mergeCells>
  <pageMargins left="0.7" right="0.7" top="0.75" bottom="0.75" header="0.3" footer="0.3"/>
  <pageSetup orientation="portrait"/>
  <legacy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I40"/>
  <sheetViews>
    <sheetView showGridLines="0" workbookViewId="0">
      <selection activeCell="O49" sqref="O49"/>
    </sheetView>
  </sheetViews>
  <sheetFormatPr defaultColWidth="8.7109375" defaultRowHeight="15" x14ac:dyDescent="0.25"/>
  <cols>
    <col min="1" max="1" width="31.42578125" customWidth="1"/>
    <col min="2" max="5" width="9.7109375" hidden="1" customWidth="1"/>
  </cols>
  <sheetData>
    <row r="1" spans="1:9" ht="25.9" customHeight="1" x14ac:dyDescent="0.5">
      <c r="A1" s="325" t="s">
        <v>70</v>
      </c>
      <c r="B1" s="325"/>
      <c r="C1" s="325"/>
      <c r="D1" s="325"/>
      <c r="E1" s="325"/>
      <c r="F1" s="325"/>
      <c r="G1" s="325"/>
      <c r="H1" s="325"/>
      <c r="I1" s="325"/>
    </row>
    <row r="2" spans="1:9" ht="18.600000000000001" customHeight="1" x14ac:dyDescent="0.4">
      <c r="A2" s="345" t="s">
        <v>88</v>
      </c>
      <c r="B2" s="345"/>
      <c r="C2" s="345"/>
      <c r="D2" s="345"/>
      <c r="E2" s="345"/>
      <c r="F2" s="345"/>
      <c r="G2" s="345"/>
      <c r="H2" s="345"/>
      <c r="I2" s="345"/>
    </row>
    <row r="3" spans="1:9" ht="12.6" customHeight="1" x14ac:dyDescent="0.3">
      <c r="A3" s="346" t="str">
        <f>ProjectedCashFlows!A4</f>
        <v>($millions)</v>
      </c>
      <c r="B3" s="346"/>
      <c r="C3" s="346"/>
      <c r="D3" s="346"/>
      <c r="E3" s="346"/>
      <c r="F3" s="346"/>
      <c r="G3" s="346"/>
      <c r="H3" s="346"/>
      <c r="I3" s="346"/>
    </row>
    <row r="4" spans="1:9" ht="11.65" customHeight="1" x14ac:dyDescent="0.3">
      <c r="A4" s="347" t="s">
        <v>75</v>
      </c>
      <c r="B4" s="347"/>
      <c r="C4" s="347"/>
      <c r="D4" s="347"/>
      <c r="E4" s="347"/>
      <c r="F4" s="347"/>
      <c r="G4" s="84"/>
      <c r="I4" s="84"/>
    </row>
    <row r="5" spans="1:9" ht="11.45" customHeight="1" x14ac:dyDescent="0.3">
      <c r="A5" s="8"/>
      <c r="B5" s="1"/>
      <c r="C5" s="1"/>
      <c r="D5" s="1"/>
      <c r="E5" s="1"/>
      <c r="F5" s="84">
        <f>'Financial Statement Inputs'!$F$16</f>
        <v>2013</v>
      </c>
      <c r="G5" s="84">
        <f>IncomeScenario!H5</f>
        <v>2014</v>
      </c>
      <c r="H5" s="84">
        <f>IncomeScenario!H5</f>
        <v>2014</v>
      </c>
      <c r="I5" s="84">
        <f>IncomeScenario!H5</f>
        <v>2014</v>
      </c>
    </row>
    <row r="6" spans="1:9" ht="12" customHeight="1" x14ac:dyDescent="0.3">
      <c r="A6" s="48" t="s">
        <v>83</v>
      </c>
      <c r="B6" s="48"/>
      <c r="C6" s="48"/>
      <c r="D6" s="48"/>
      <c r="E6" s="48"/>
      <c r="F6" s="245"/>
      <c r="G6" s="38" t="s">
        <v>133</v>
      </c>
      <c r="H6" s="38" t="s">
        <v>134</v>
      </c>
      <c r="I6" s="38" t="s">
        <v>135</v>
      </c>
    </row>
    <row r="7" spans="1:9" ht="14.45" x14ac:dyDescent="0.3">
      <c r="A7" s="85" t="s">
        <v>76</v>
      </c>
      <c r="B7" s="85"/>
      <c r="C7" s="85"/>
      <c r="D7" s="85"/>
      <c r="E7" s="85"/>
      <c r="F7" s="79">
        <f>BalanceSheets!F9</f>
        <v>6807000000</v>
      </c>
      <c r="G7" s="79">
        <v>3547335500.9528666</v>
      </c>
      <c r="H7" s="79">
        <v>4924810325.7383633</v>
      </c>
      <c r="I7" s="79">
        <v>7978452088.6796417</v>
      </c>
    </row>
    <row r="8" spans="1:9" ht="14.45" x14ac:dyDescent="0.3">
      <c r="A8" s="85" t="s">
        <v>16</v>
      </c>
      <c r="B8" s="85"/>
      <c r="C8" s="85"/>
      <c r="D8" s="85"/>
      <c r="E8" s="85"/>
      <c r="F8" s="271">
        <f>BalanceSheets!F10</f>
        <v>6082000000</v>
      </c>
      <c r="G8" s="271">
        <v>6323175000</v>
      </c>
      <c r="H8" s="271">
        <v>6788320000</v>
      </c>
      <c r="I8" s="271">
        <v>6088983333.333333</v>
      </c>
    </row>
    <row r="9" spans="1:9" ht="14.45" x14ac:dyDescent="0.3">
      <c r="A9" s="85" t="s">
        <v>17</v>
      </c>
      <c r="B9" s="85"/>
      <c r="C9" s="85"/>
      <c r="D9" s="85"/>
      <c r="E9" s="85"/>
      <c r="F9" s="271">
        <f>BalanceSheets!F11</f>
        <v>6460000000</v>
      </c>
      <c r="G9" s="271">
        <v>6508980000</v>
      </c>
      <c r="H9" s="271">
        <v>6957951999.999999</v>
      </c>
      <c r="I9" s="271">
        <v>6040271466.666667</v>
      </c>
    </row>
    <row r="10" spans="1:9" ht="14.45" x14ac:dyDescent="0.3">
      <c r="A10" s="85" t="s">
        <v>18</v>
      </c>
      <c r="B10" s="85"/>
      <c r="C10" s="85"/>
      <c r="D10" s="85"/>
      <c r="E10" s="85"/>
      <c r="F10" s="270">
        <f>BalanceSheets!F12</f>
        <v>1468000000</v>
      </c>
      <c r="G10" s="270">
        <v>1468000000</v>
      </c>
      <c r="H10" s="270">
        <v>1468000000</v>
      </c>
      <c r="I10" s="270">
        <v>1468000000</v>
      </c>
    </row>
    <row r="11" spans="1:9" ht="14.45" x14ac:dyDescent="0.3">
      <c r="A11" s="48" t="s">
        <v>190</v>
      </c>
      <c r="B11" s="48"/>
      <c r="C11" s="48"/>
      <c r="D11" s="48"/>
      <c r="E11" s="48"/>
      <c r="F11" s="69">
        <f>SUM(F$7:F$10)</f>
        <v>20817000000</v>
      </c>
      <c r="G11" s="69">
        <v>17847490500.952866</v>
      </c>
      <c r="H11" s="69">
        <v>20139082325.738361</v>
      </c>
      <c r="I11" s="69">
        <v>21575706888.679642</v>
      </c>
    </row>
    <row r="12" spans="1:9" ht="3" customHeight="1" x14ac:dyDescent="0.3">
      <c r="A12" s="48"/>
      <c r="B12" s="48"/>
      <c r="C12" s="48"/>
      <c r="D12" s="48"/>
      <c r="E12" s="48"/>
      <c r="F12" s="69"/>
      <c r="G12" s="69"/>
      <c r="H12" s="69"/>
      <c r="I12" s="82"/>
    </row>
    <row r="13" spans="1:9" ht="14.45" x14ac:dyDescent="0.3">
      <c r="A13" s="85" t="s">
        <v>20</v>
      </c>
      <c r="B13" s="85"/>
      <c r="C13" s="85"/>
      <c r="D13" s="85"/>
      <c r="E13" s="85"/>
      <c r="F13" s="79">
        <f>BalanceSheets!F15</f>
        <v>26726000000</v>
      </c>
      <c r="G13" s="79">
        <v>31098200000</v>
      </c>
      <c r="H13" s="79">
        <v>32633328000</v>
      </c>
      <c r="I13" s="79">
        <v>33041400000</v>
      </c>
    </row>
    <row r="14" spans="1:9" ht="14.45" x14ac:dyDescent="0.3">
      <c r="A14" s="85" t="s">
        <v>21</v>
      </c>
      <c r="B14" s="85"/>
      <c r="C14" s="85"/>
      <c r="D14" s="85"/>
      <c r="E14" s="85"/>
      <c r="F14" s="77">
        <f>BalanceSheets!F16</f>
        <v>7783000000</v>
      </c>
      <c r="G14" s="77">
        <v>9628448143.4058895</v>
      </c>
      <c r="H14" s="270">
        <v>9628448143.4058895</v>
      </c>
      <c r="I14" s="270">
        <v>9628448143.4058895</v>
      </c>
    </row>
    <row r="15" spans="1:9" ht="14.45" x14ac:dyDescent="0.3">
      <c r="A15" s="257" t="s">
        <v>192</v>
      </c>
      <c r="B15" s="48"/>
      <c r="C15" s="48"/>
      <c r="D15" s="48"/>
      <c r="E15" s="48"/>
      <c r="F15" s="69">
        <f>F$13-F$14</f>
        <v>18943000000</v>
      </c>
      <c r="G15" s="69">
        <v>21469751856.594109</v>
      </c>
      <c r="H15" s="69">
        <v>23004879856.594109</v>
      </c>
      <c r="I15" s="69">
        <v>23412951856.594109</v>
      </c>
    </row>
    <row r="16" spans="1:9" ht="3.6" customHeight="1" x14ac:dyDescent="0.3">
      <c r="A16" s="257"/>
      <c r="B16" s="48"/>
      <c r="C16" s="48"/>
      <c r="D16" s="48"/>
      <c r="E16" s="48"/>
      <c r="F16" s="69"/>
      <c r="G16" s="69"/>
      <c r="H16" s="69"/>
      <c r="I16" s="69"/>
    </row>
    <row r="17" spans="1:9" ht="14.45" x14ac:dyDescent="0.3">
      <c r="A17" s="85" t="s">
        <v>23</v>
      </c>
      <c r="B17" s="85"/>
      <c r="C17" s="85"/>
      <c r="D17" s="85"/>
      <c r="E17" s="85"/>
      <c r="F17" s="79">
        <f>BalanceSheets!F19</f>
        <v>1813000000</v>
      </c>
      <c r="G17" s="79">
        <v>1813000000</v>
      </c>
      <c r="H17" s="79">
        <v>1813000000</v>
      </c>
      <c r="I17" s="79">
        <v>1813000000</v>
      </c>
    </row>
    <row r="18" spans="1:9" thickBot="1" x14ac:dyDescent="0.35">
      <c r="A18" s="257" t="s">
        <v>82</v>
      </c>
      <c r="B18" s="50"/>
      <c r="C18" s="50"/>
      <c r="D18" s="50"/>
      <c r="E18" s="50"/>
      <c r="F18" s="71">
        <f>F$11+F$15+F$17</f>
        <v>41573000000</v>
      </c>
      <c r="G18" s="71">
        <v>41130242357.546974</v>
      </c>
      <c r="H18" s="71">
        <v>44956962182.332474</v>
      </c>
      <c r="I18" s="71">
        <v>46801658745.27375</v>
      </c>
    </row>
    <row r="19" spans="1:9" thickTop="1" x14ac:dyDescent="0.3">
      <c r="A19" s="48" t="s">
        <v>84</v>
      </c>
      <c r="B19" s="48"/>
      <c r="C19" s="48"/>
      <c r="D19" s="48"/>
      <c r="E19" s="48"/>
      <c r="F19" s="52"/>
      <c r="G19" s="52"/>
      <c r="H19" s="52"/>
      <c r="I19" s="52"/>
    </row>
    <row r="20" spans="1:9" ht="12.6" customHeight="1" x14ac:dyDescent="0.3">
      <c r="A20" s="48" t="s">
        <v>85</v>
      </c>
      <c r="B20" s="48"/>
      <c r="C20" s="48"/>
      <c r="D20" s="48"/>
      <c r="E20" s="48"/>
      <c r="F20" s="52"/>
      <c r="G20" s="52"/>
      <c r="H20" s="52"/>
      <c r="I20" s="52"/>
    </row>
    <row r="21" spans="1:9" ht="14.45" x14ac:dyDescent="0.3">
      <c r="A21" s="85" t="s">
        <v>27</v>
      </c>
      <c r="B21" s="85"/>
      <c r="C21" s="85"/>
      <c r="D21" s="85"/>
      <c r="E21" s="85"/>
      <c r="F21" s="79">
        <f>BalanceSheets!F24</f>
        <v>6934000000</v>
      </c>
      <c r="G21" s="79">
        <v>5573250000</v>
      </c>
      <c r="H21" s="79">
        <v>7530080000</v>
      </c>
      <c r="I21" s="79">
        <v>7757884403.9158211</v>
      </c>
    </row>
    <row r="22" spans="1:9" ht="14.45" x14ac:dyDescent="0.3">
      <c r="A22" s="85" t="s">
        <v>28</v>
      </c>
      <c r="B22" s="85"/>
      <c r="C22" s="85"/>
      <c r="D22" s="85"/>
      <c r="E22" s="85"/>
      <c r="F22" s="271">
        <f>BalanceSheets!F25</f>
        <v>606000000</v>
      </c>
      <c r="G22" s="271">
        <v>606000000</v>
      </c>
      <c r="H22" s="271">
        <v>606000000</v>
      </c>
      <c r="I22" s="271">
        <v>606000000</v>
      </c>
    </row>
    <row r="23" spans="1:9" ht="14.45" x14ac:dyDescent="0.3">
      <c r="A23" s="85" t="s">
        <v>29</v>
      </c>
      <c r="B23" s="85"/>
      <c r="C23" s="85"/>
      <c r="D23" s="85"/>
      <c r="E23" s="85"/>
      <c r="F23" s="271">
        <f>BalanceSheets!F26</f>
        <v>1959000000</v>
      </c>
      <c r="G23" s="271">
        <v>1518750000</v>
      </c>
      <c r="H23" s="271">
        <v>2052834053.3146124</v>
      </c>
      <c r="I23" s="271">
        <v>2135962255.5410693</v>
      </c>
    </row>
    <row r="24" spans="1:9" ht="14.45" x14ac:dyDescent="0.3">
      <c r="A24" s="85" t="s">
        <v>30</v>
      </c>
      <c r="B24" s="85"/>
      <c r="C24" s="85"/>
      <c r="D24" s="85"/>
      <c r="E24" s="85"/>
      <c r="F24" s="270">
        <f>BalanceSheets!F27</f>
        <v>364000000</v>
      </c>
      <c r="G24" s="270">
        <v>286675557.93109637</v>
      </c>
      <c r="H24" s="270">
        <v>435204211.06684673</v>
      </c>
      <c r="I24" s="270">
        <v>657958143.33286476</v>
      </c>
    </row>
    <row r="25" spans="1:9" ht="14.45" x14ac:dyDescent="0.3">
      <c r="A25" s="48" t="s">
        <v>187</v>
      </c>
      <c r="B25" s="48"/>
      <c r="C25" s="48"/>
      <c r="D25" s="48"/>
      <c r="E25" s="48"/>
      <c r="F25" s="69">
        <f>SUM(F$21:F$24)</f>
        <v>9863000000</v>
      </c>
      <c r="G25" s="69">
        <v>7984675557.9310961</v>
      </c>
      <c r="H25" s="69">
        <v>10624118264.38146</v>
      </c>
      <c r="I25" s="69">
        <v>11157804802.789755</v>
      </c>
    </row>
    <row r="26" spans="1:9" ht="1.1499999999999999" customHeight="1" x14ac:dyDescent="0.3">
      <c r="A26" s="1"/>
      <c r="B26" s="1"/>
      <c r="C26" s="1"/>
      <c r="D26" s="1"/>
      <c r="E26" s="1"/>
      <c r="F26" s="81"/>
      <c r="G26" s="81"/>
      <c r="H26" s="81"/>
      <c r="I26" s="81"/>
    </row>
    <row r="27" spans="1:9" ht="14.45" x14ac:dyDescent="0.3">
      <c r="A27" s="53" t="s">
        <v>86</v>
      </c>
      <c r="B27" s="53"/>
      <c r="C27" s="53"/>
      <c r="D27" s="53"/>
      <c r="E27" s="53"/>
      <c r="F27" s="82"/>
      <c r="G27" s="82"/>
      <c r="H27" s="82"/>
      <c r="I27" s="82"/>
    </row>
    <row r="28" spans="1:9" ht="14.45" x14ac:dyDescent="0.3">
      <c r="A28" s="85" t="s">
        <v>32</v>
      </c>
      <c r="B28" s="85"/>
      <c r="C28" s="85"/>
      <c r="D28" s="85"/>
      <c r="E28" s="85"/>
      <c r="F28" s="79">
        <f>BalanceSheets!F31</f>
        <v>2412000000</v>
      </c>
      <c r="G28" s="79">
        <v>2412000000</v>
      </c>
      <c r="H28" s="79">
        <v>2412000000</v>
      </c>
      <c r="I28" s="79">
        <v>2412000000</v>
      </c>
    </row>
    <row r="29" spans="1:9" ht="14.45" x14ac:dyDescent="0.3">
      <c r="A29" s="85" t="s">
        <v>33</v>
      </c>
      <c r="B29" s="85"/>
      <c r="C29" s="85"/>
      <c r="D29" s="85"/>
      <c r="E29" s="85"/>
      <c r="F29" s="270">
        <f>BalanceSheets!F32</f>
        <v>17051000000</v>
      </c>
      <c r="G29" s="270">
        <v>16445000000</v>
      </c>
      <c r="H29" s="270">
        <v>16445000000</v>
      </c>
      <c r="I29" s="270">
        <v>16445000000</v>
      </c>
    </row>
    <row r="30" spans="1:9" ht="14.45" x14ac:dyDescent="0.3">
      <c r="A30" s="257" t="s">
        <v>209</v>
      </c>
      <c r="B30" s="85"/>
      <c r="C30" s="85"/>
      <c r="D30" s="85"/>
      <c r="E30" s="85"/>
      <c r="F30" s="272">
        <f>BalanceSheets!D33</f>
        <v>10472000000</v>
      </c>
      <c r="G30" s="272">
        <v>18857000000</v>
      </c>
      <c r="H30" s="272">
        <v>18857000000</v>
      </c>
      <c r="I30" s="272">
        <v>18857000000</v>
      </c>
    </row>
    <row r="31" spans="1:9" ht="14.45" x14ac:dyDescent="0.3">
      <c r="A31" s="48" t="s">
        <v>188</v>
      </c>
      <c r="B31" s="48"/>
      <c r="C31" s="48"/>
      <c r="D31" s="48"/>
      <c r="E31" s="48"/>
      <c r="F31" s="69">
        <f>SUM(F$25:F$29)</f>
        <v>29326000000</v>
      </c>
      <c r="G31" s="69">
        <v>26841675557.931095</v>
      </c>
      <c r="H31" s="69">
        <v>29481118264.381462</v>
      </c>
      <c r="I31" s="69">
        <v>30014804802.789757</v>
      </c>
    </row>
    <row r="32" spans="1:9" ht="2.4500000000000002" customHeight="1" x14ac:dyDescent="0.3">
      <c r="A32" s="48"/>
      <c r="B32" s="48"/>
      <c r="C32" s="48"/>
      <c r="D32" s="48"/>
      <c r="E32" s="48"/>
      <c r="F32" s="69"/>
      <c r="G32" s="69"/>
      <c r="H32" s="69"/>
      <c r="I32" s="69"/>
    </row>
    <row r="33" spans="1:9" ht="14.45" x14ac:dyDescent="0.3">
      <c r="A33" s="86" t="s">
        <v>35</v>
      </c>
      <c r="B33" s="86"/>
      <c r="C33" s="86"/>
      <c r="D33" s="86"/>
      <c r="E33" s="86"/>
      <c r="F33" s="79">
        <f>BalanceSheets!F36</f>
        <v>68000000</v>
      </c>
      <c r="G33" s="79">
        <v>68000000</v>
      </c>
      <c r="H33" s="79">
        <v>68000000</v>
      </c>
      <c r="I33" s="79">
        <v>68000000</v>
      </c>
    </row>
    <row r="34" spans="1:9" ht="14.45" x14ac:dyDescent="0.3">
      <c r="A34" s="86" t="s">
        <v>36</v>
      </c>
      <c r="B34" s="86"/>
      <c r="C34" s="86"/>
      <c r="D34" s="86"/>
      <c r="E34" s="86"/>
      <c r="F34" s="271">
        <f>BalanceSheets!F37</f>
        <v>1130000000</v>
      </c>
      <c r="G34" s="271">
        <v>1130000000</v>
      </c>
      <c r="H34" s="271">
        <v>1130000000</v>
      </c>
      <c r="I34" s="271">
        <v>1130000000</v>
      </c>
    </row>
    <row r="35" spans="1:9" ht="14.45" x14ac:dyDescent="0.3">
      <c r="A35" s="86" t="s">
        <v>37</v>
      </c>
      <c r="B35" s="86"/>
      <c r="C35" s="86"/>
      <c r="D35" s="86"/>
      <c r="E35" s="86"/>
      <c r="F35" s="270">
        <f>BalanceSheets!F38</f>
        <v>11049000000</v>
      </c>
      <c r="G35" s="270">
        <v>13090566799.615879</v>
      </c>
      <c r="H35" s="270">
        <v>14277843917.951012</v>
      </c>
      <c r="I35" s="270">
        <v>15588853942.483997</v>
      </c>
    </row>
    <row r="36" spans="1:9" ht="14.45" x14ac:dyDescent="0.3">
      <c r="A36" s="48" t="s">
        <v>90</v>
      </c>
      <c r="B36" s="50"/>
      <c r="C36" s="50"/>
      <c r="D36" s="50"/>
      <c r="E36" s="50"/>
      <c r="F36" s="83">
        <f>SUM(F$33:F$35)</f>
        <v>12247000000</v>
      </c>
      <c r="G36" s="83">
        <v>14288566799.615879</v>
      </c>
      <c r="H36" s="83">
        <v>15475843917.951012</v>
      </c>
      <c r="I36" s="83">
        <v>16786853942.483997</v>
      </c>
    </row>
    <row r="37" spans="1:9" ht="0.6" customHeight="1" x14ac:dyDescent="0.3">
      <c r="A37" s="48"/>
      <c r="B37" s="50"/>
      <c r="C37" s="50"/>
      <c r="D37" s="50"/>
      <c r="E37" s="50"/>
      <c r="F37" s="69"/>
      <c r="G37" s="69"/>
      <c r="H37" s="69"/>
      <c r="I37" s="69"/>
    </row>
    <row r="38" spans="1:9" ht="28.9" thickBot="1" x14ac:dyDescent="0.35">
      <c r="A38" s="54" t="s">
        <v>238</v>
      </c>
      <c r="B38" s="54"/>
      <c r="C38" s="54"/>
      <c r="D38" s="54"/>
      <c r="E38" s="54"/>
      <c r="F38" s="273">
        <f>SUM(F$31, F$36)</f>
        <v>41573000000</v>
      </c>
      <c r="G38" s="273">
        <v>41130242357.546974</v>
      </c>
      <c r="H38" s="273">
        <v>44956962182.332474</v>
      </c>
      <c r="I38" s="273">
        <v>46801658745.273758</v>
      </c>
    </row>
    <row r="39" spans="1:9" ht="0.6" customHeight="1" thickTop="1" x14ac:dyDescent="0.3">
      <c r="A39" s="1"/>
      <c r="B39" s="1"/>
      <c r="C39" s="1"/>
      <c r="D39" s="1"/>
      <c r="E39" s="1"/>
      <c r="F39" s="1"/>
      <c r="G39" s="1"/>
      <c r="H39" s="1"/>
      <c r="I39" s="1"/>
    </row>
    <row r="40" spans="1:9" ht="14.45" x14ac:dyDescent="0.3">
      <c r="A40" s="1" t="s">
        <v>38</v>
      </c>
      <c r="B40" s="1"/>
      <c r="C40" s="1"/>
      <c r="D40" s="1"/>
      <c r="E40" s="1"/>
      <c r="F40" s="6" t="str">
        <f>IF(ABS(F$18-F$38)&gt;1000000, "Error", "OK")</f>
        <v>OK</v>
      </c>
      <c r="G40" s="6" t="str">
        <f>IF(ABS(G$18-G$38)&gt;1000000, "Error", "OK")</f>
        <v>OK</v>
      </c>
      <c r="H40" s="6" t="str">
        <f>IF(ABS(H$18-H$38)&gt;1000000, "Error", "OK")</f>
        <v>OK</v>
      </c>
      <c r="I40" s="6" t="str">
        <f>IF(ABS(I$18-I$38)&gt;1000000, "Error", "OK")</f>
        <v>OK</v>
      </c>
    </row>
  </sheetData>
  <mergeCells count="4">
    <mergeCell ref="A1:I1"/>
    <mergeCell ref="A2:I2"/>
    <mergeCell ref="A3:I3"/>
    <mergeCell ref="A4:F4"/>
  </mergeCells>
  <conditionalFormatting sqref="F40:I40">
    <cfRule type="containsText" dxfId="1" priority="1" operator="containsText" text="Error">
      <formula>NOT(ISERROR(SEARCH("Error",F40)))</formula>
    </cfRule>
    <cfRule type="containsText" dxfId="0" priority="2" operator="containsText" text="OK">
      <formula>NOT(ISERROR(SEARCH("OK",F40)))</formula>
    </cfRule>
  </conditionalFormatting>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J82"/>
  <sheetViews>
    <sheetView showGridLines="0" workbookViewId="0">
      <selection activeCell="F13" sqref="F13"/>
    </sheetView>
  </sheetViews>
  <sheetFormatPr defaultColWidth="9.140625" defaultRowHeight="15" x14ac:dyDescent="0.25"/>
  <cols>
    <col min="1" max="1" width="29.7109375" style="1" customWidth="1"/>
    <col min="2" max="3" width="29.7109375" style="1" hidden="1" customWidth="1"/>
    <col min="4" max="5" width="9.140625" style="1"/>
    <col min="6" max="6" width="10.140625" style="1" customWidth="1"/>
    <col min="7" max="7" width="9.140625" style="141"/>
    <col min="8" max="10" width="12" style="14" customWidth="1"/>
    <col min="11" max="218" width="9.140625" style="14"/>
    <col min="219" max="16384" width="9.140625" style="1"/>
  </cols>
  <sheetData>
    <row r="1" spans="1:218" ht="25.9" customHeight="1" x14ac:dyDescent="0.5">
      <c r="A1" s="322" t="s">
        <v>57</v>
      </c>
      <c r="B1" s="322"/>
      <c r="C1" s="322"/>
      <c r="D1" s="322"/>
      <c r="E1" s="322"/>
      <c r="F1" s="322"/>
      <c r="G1" s="14"/>
    </row>
    <row r="2" spans="1:218" ht="19.149999999999999" customHeight="1" x14ac:dyDescent="0.4">
      <c r="A2" s="320" t="s">
        <v>88</v>
      </c>
      <c r="B2" s="320"/>
      <c r="C2" s="320"/>
      <c r="D2" s="320"/>
      <c r="E2" s="320"/>
      <c r="F2" s="320"/>
      <c r="G2" s="14"/>
      <c r="K2" s="105"/>
    </row>
    <row r="3" spans="1:218" ht="15" customHeight="1" x14ac:dyDescent="0.35">
      <c r="A3" s="321" t="s">
        <v>208</v>
      </c>
      <c r="B3" s="321"/>
      <c r="C3" s="321"/>
      <c r="D3" s="321"/>
      <c r="E3" s="321"/>
      <c r="F3" s="321"/>
      <c r="G3" s="14"/>
    </row>
    <row r="4" spans="1:218" ht="12.6" customHeight="1" x14ac:dyDescent="0.3">
      <c r="A4" s="323" t="s">
        <v>1</v>
      </c>
      <c r="B4" s="323"/>
      <c r="C4" s="323"/>
      <c r="D4" s="323"/>
      <c r="E4" s="248"/>
      <c r="F4" s="248"/>
      <c r="G4" s="222"/>
    </row>
    <row r="5" spans="1:218" ht="0.6" hidden="1" customHeight="1" x14ac:dyDescent="0.3">
      <c r="A5" s="118"/>
      <c r="B5" s="118"/>
      <c r="C5" s="118"/>
      <c r="D5" s="14"/>
      <c r="E5" s="14"/>
      <c r="F5" s="14"/>
      <c r="G5" s="14"/>
      <c r="H5"/>
      <c r="I5"/>
      <c r="J5"/>
      <c r="K5"/>
    </row>
    <row r="6" spans="1:218" s="121" customFormat="1" ht="1.9" hidden="1" customHeight="1" x14ac:dyDescent="0.3">
      <c r="A6" s="118"/>
      <c r="B6" s="118"/>
      <c r="C6" s="118"/>
      <c r="D6" s="129"/>
      <c r="E6" s="129"/>
      <c r="F6" s="14"/>
      <c r="G6" s="14"/>
      <c r="H6"/>
      <c r="I6"/>
      <c r="J6"/>
      <c r="K6"/>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row>
    <row r="7" spans="1:218" s="121" customFormat="1" ht="16.149999999999999" thickBot="1" x14ac:dyDescent="0.35">
      <c r="A7" s="118"/>
      <c r="B7" s="118"/>
      <c r="C7" s="118"/>
      <c r="D7" s="125">
        <f>'Financial Statement Inputs'!D16</f>
        <v>2011</v>
      </c>
      <c r="E7" s="125">
        <f>'Financial Statement Inputs'!E16</f>
        <v>2012</v>
      </c>
      <c r="F7" s="125">
        <f>'Financial Statement Inputs'!F16</f>
        <v>2013</v>
      </c>
      <c r="G7" s="14"/>
      <c r="H7"/>
      <c r="I7"/>
      <c r="J7"/>
      <c r="K7"/>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row>
    <row r="8" spans="1:218" s="121" customFormat="1" ht="14.45" x14ac:dyDescent="0.3">
      <c r="A8" s="115" t="s">
        <v>3</v>
      </c>
      <c r="B8" s="115"/>
      <c r="C8" s="115"/>
      <c r="D8" s="109">
        <f>'Financial Statement Inputs'!D17</f>
        <v>33669000000</v>
      </c>
      <c r="E8" s="109">
        <f>'Financial Statement Inputs'!E17</f>
        <v>46227000000</v>
      </c>
      <c r="F8" s="109">
        <f>'Financial Statement Inputs'!F17</f>
        <v>56206000000</v>
      </c>
      <c r="G8" s="14"/>
      <c r="H8"/>
      <c r="I8"/>
      <c r="J8"/>
      <c r="K8"/>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row>
    <row r="9" spans="1:218" s="121" customFormat="1" ht="13.9" x14ac:dyDescent="0.25">
      <c r="A9" s="126" t="s">
        <v>4</v>
      </c>
      <c r="B9" s="126"/>
      <c r="C9" s="126"/>
      <c r="D9" s="196">
        <f>'Financial Statement Inputs'!D18</f>
        <v>21673000000</v>
      </c>
      <c r="E9" s="196">
        <f>'Financial Statement Inputs'!E18</f>
        <v>32647000000</v>
      </c>
      <c r="F9" s="196">
        <f>'Financial Statement Inputs'!F18</f>
        <v>36161000000</v>
      </c>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row>
    <row r="10" spans="1:218" s="121" customFormat="1" ht="13.9" x14ac:dyDescent="0.25">
      <c r="A10" s="115" t="s">
        <v>14</v>
      </c>
      <c r="B10" s="115"/>
      <c r="C10" s="115"/>
      <c r="D10" s="109">
        <f>D$8-D$9</f>
        <v>11996000000</v>
      </c>
      <c r="E10" s="109">
        <f>E$8-E$9</f>
        <v>13580000000</v>
      </c>
      <c r="F10" s="109">
        <f>F$8-F$9</f>
        <v>20045000000</v>
      </c>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row>
    <row r="11" spans="1:218" s="121" customFormat="1" ht="13.9" x14ac:dyDescent="0.25">
      <c r="A11" s="126" t="s">
        <v>5</v>
      </c>
      <c r="B11" s="126"/>
      <c r="C11" s="126"/>
      <c r="D11" s="196">
        <f>'Financial Statement Inputs'!D20</f>
        <v>7320000000</v>
      </c>
      <c r="E11" s="196">
        <f>'Financial Statement Inputs'!E20</f>
        <v>9847000000</v>
      </c>
      <c r="F11" s="196">
        <f>'Financial Statement Inputs'!F20</f>
        <v>13694000000</v>
      </c>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row>
    <row r="12" spans="1:218" s="121" customFormat="1" ht="14.45" x14ac:dyDescent="0.3">
      <c r="A12" s="127" t="s">
        <v>80</v>
      </c>
      <c r="B12" s="127"/>
      <c r="C12" s="127"/>
      <c r="D12" s="144">
        <f>D10-D11</f>
        <v>4676000000</v>
      </c>
      <c r="E12" s="144">
        <f>E10-E11</f>
        <v>3733000000</v>
      </c>
      <c r="F12" s="144">
        <f>F10-F11</f>
        <v>6351000000</v>
      </c>
      <c r="G12" s="14"/>
      <c r="H12" s="130"/>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row>
    <row r="13" spans="1:218" s="121" customFormat="1" ht="13.9" x14ac:dyDescent="0.25">
      <c r="A13" s="126" t="s">
        <v>71</v>
      </c>
      <c r="B13" s="126"/>
      <c r="C13" s="126"/>
      <c r="D13" s="196">
        <f>'Financial Statement Inputs'!D21</f>
        <v>870000000</v>
      </c>
      <c r="E13" s="196">
        <f>'Financial Statement Inputs'!E21</f>
        <v>1207000000</v>
      </c>
      <c r="F13" s="196">
        <f>'Financial Statement Inputs'!F21</f>
        <v>1510000000</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row>
    <row r="14" spans="1:218" s="121" customFormat="1" ht="13.9" x14ac:dyDescent="0.25">
      <c r="A14" s="115" t="s">
        <v>13</v>
      </c>
      <c r="B14" s="115"/>
      <c r="C14" s="115"/>
      <c r="D14" s="109">
        <f>D$10-D$11-D$13</f>
        <v>3806000000</v>
      </c>
      <c r="E14" s="109">
        <f>E$10-E$11-E$13</f>
        <v>2526000000</v>
      </c>
      <c r="F14" s="109">
        <f>F$10-F$11-F$13</f>
        <v>4841000000</v>
      </c>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row>
    <row r="15" spans="1:218" s="121" customFormat="1" ht="13.9" x14ac:dyDescent="0.25">
      <c r="A15" s="126" t="s">
        <v>7</v>
      </c>
      <c r="B15" s="126"/>
      <c r="C15" s="126"/>
      <c r="D15" s="196">
        <f>'Financial Statement Inputs'!D23</f>
        <v>525000000</v>
      </c>
      <c r="E15" s="196">
        <f>'Financial Statement Inputs'!E23</f>
        <v>611000000</v>
      </c>
      <c r="F15" s="196">
        <f>'Financial Statement Inputs'!F23</f>
        <v>684000000</v>
      </c>
      <c r="G15" s="14"/>
      <c r="H15" s="14"/>
      <c r="I15" s="14"/>
      <c r="J15" s="14"/>
      <c r="K15" s="14"/>
      <c r="L15" s="67"/>
      <c r="M15" s="67"/>
      <c r="N15" s="67"/>
      <c r="O15" s="117"/>
      <c r="P15" s="67"/>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row>
    <row r="16" spans="1:218" s="121" customFormat="1" ht="13.9" x14ac:dyDescent="0.25">
      <c r="A16" s="115" t="s">
        <v>12</v>
      </c>
      <c r="B16" s="115"/>
      <c r="C16" s="115"/>
      <c r="D16" s="109">
        <f>D14-D15</f>
        <v>3281000000</v>
      </c>
      <c r="E16" s="109">
        <f>E14-E15</f>
        <v>1915000000</v>
      </c>
      <c r="F16" s="109">
        <f>F14-F15</f>
        <v>4157000000</v>
      </c>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row>
    <row r="17" spans="1:218" s="121" customFormat="1" ht="13.9" x14ac:dyDescent="0.25">
      <c r="A17" s="126" t="s">
        <v>8</v>
      </c>
      <c r="B17" s="126"/>
      <c r="C17" s="126"/>
      <c r="D17" s="197">
        <f>'Financial Statement Inputs'!D25</f>
        <v>984000000</v>
      </c>
      <c r="E17" s="197">
        <f>'Financial Statement Inputs'!E25</f>
        <v>575000000</v>
      </c>
      <c r="F17" s="197">
        <f>'Financial Statement Inputs'!F25</f>
        <v>1247000000</v>
      </c>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row>
    <row r="18" spans="1:218" s="121" customFormat="1" ht="14.45" thickBot="1" x14ac:dyDescent="0.3">
      <c r="A18" s="115" t="s">
        <v>9</v>
      </c>
      <c r="B18" s="115"/>
      <c r="C18" s="115"/>
      <c r="D18" s="110">
        <f>+D16-D17</f>
        <v>2297000000</v>
      </c>
      <c r="E18" s="110">
        <f>+E16-E17</f>
        <v>1340000000</v>
      </c>
      <c r="F18" s="110">
        <f>+F16-F17</f>
        <v>2910000000</v>
      </c>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row>
    <row r="19" spans="1:218" s="121" customFormat="1" ht="3" customHeight="1" thickTop="1" x14ac:dyDescent="0.25">
      <c r="A19" s="115"/>
      <c r="B19" s="115"/>
      <c r="C19" s="115"/>
      <c r="D19" s="235"/>
      <c r="E19" s="235"/>
      <c r="F19" s="235"/>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row>
    <row r="20" spans="1:218" s="119" customFormat="1" ht="13.9" x14ac:dyDescent="0.25">
      <c r="A20" s="124" t="s">
        <v>11</v>
      </c>
      <c r="B20" s="124"/>
      <c r="C20" s="124"/>
      <c r="D20" s="132">
        <f>'Financial Statement Inputs'!D28</f>
        <v>1000000000</v>
      </c>
      <c r="E20" s="132">
        <f>+D20</f>
        <v>1000000000</v>
      </c>
      <c r="F20" s="132">
        <f>+E20</f>
        <v>1000000000</v>
      </c>
      <c r="G20" s="131"/>
      <c r="H20" s="132"/>
      <c r="I20" s="132"/>
      <c r="J20" s="131"/>
      <c r="K20" s="131" t="s">
        <v>73</v>
      </c>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131"/>
      <c r="BI20" s="131"/>
      <c r="BJ20" s="131"/>
      <c r="BK20" s="131"/>
      <c r="BL20" s="131"/>
      <c r="BM20" s="131"/>
      <c r="BN20" s="131"/>
      <c r="BO20" s="131"/>
      <c r="BP20" s="131"/>
      <c r="BQ20" s="131"/>
      <c r="BR20" s="131"/>
      <c r="BS20" s="131"/>
      <c r="BT20" s="131"/>
      <c r="BU20" s="131"/>
      <c r="BV20" s="131"/>
      <c r="BW20" s="131"/>
      <c r="BX20" s="131"/>
      <c r="BY20" s="131"/>
      <c r="BZ20" s="131"/>
      <c r="CA20" s="131"/>
      <c r="CB20" s="131"/>
      <c r="CC20" s="131"/>
      <c r="CD20" s="131"/>
      <c r="CE20" s="131"/>
      <c r="CF20" s="131"/>
      <c r="CG20" s="131"/>
      <c r="CH20" s="131"/>
      <c r="CI20" s="131"/>
      <c r="CJ20" s="131"/>
      <c r="CK20" s="131"/>
      <c r="CL20" s="131"/>
      <c r="CM20" s="131"/>
      <c r="CN20" s="131"/>
      <c r="CO20" s="131"/>
      <c r="CP20" s="131"/>
      <c r="CQ20" s="131"/>
      <c r="CR20" s="131"/>
      <c r="CS20" s="131"/>
      <c r="CT20" s="131"/>
      <c r="CU20" s="131"/>
      <c r="CV20" s="131"/>
      <c r="CW20" s="131"/>
      <c r="CX20" s="131"/>
      <c r="CY20" s="131"/>
      <c r="CZ20" s="131"/>
      <c r="DA20" s="131"/>
      <c r="DB20" s="131"/>
      <c r="DC20" s="131"/>
      <c r="DD20" s="131"/>
      <c r="DE20" s="131"/>
      <c r="DF20" s="131"/>
      <c r="DG20" s="131"/>
      <c r="DH20" s="131"/>
      <c r="DI20" s="131"/>
      <c r="DJ20" s="131"/>
      <c r="DK20" s="131"/>
      <c r="DL20" s="131"/>
      <c r="DM20" s="131"/>
      <c r="DN20" s="131"/>
      <c r="DO20" s="131"/>
      <c r="DP20" s="131"/>
      <c r="DQ20" s="131"/>
      <c r="DR20" s="131"/>
      <c r="DS20" s="131"/>
      <c r="DT20" s="131"/>
      <c r="DU20" s="131"/>
      <c r="DV20" s="131"/>
      <c r="DW20" s="131"/>
      <c r="DX20" s="131"/>
      <c r="DY20" s="131"/>
      <c r="DZ20" s="131"/>
      <c r="EA20" s="131"/>
      <c r="EB20" s="131"/>
      <c r="EC20" s="131"/>
      <c r="ED20" s="131"/>
      <c r="EE20" s="131"/>
      <c r="EF20" s="131"/>
      <c r="EG20" s="131"/>
      <c r="EH20" s="131"/>
      <c r="EI20" s="131"/>
      <c r="EJ20" s="131"/>
      <c r="EK20" s="131"/>
      <c r="EL20" s="131"/>
      <c r="EM20" s="131"/>
      <c r="EN20" s="131"/>
      <c r="EO20" s="131"/>
      <c r="EP20" s="131"/>
      <c r="EQ20" s="131"/>
      <c r="ER20" s="131"/>
      <c r="ES20" s="131"/>
      <c r="ET20" s="131"/>
      <c r="EU20" s="131"/>
      <c r="EV20" s="131"/>
      <c r="EW20" s="131"/>
      <c r="EX20" s="131"/>
      <c r="EY20" s="131"/>
      <c r="EZ20" s="131"/>
      <c r="FA20" s="131"/>
      <c r="FB20" s="131"/>
      <c r="FC20" s="131"/>
      <c r="FD20" s="131"/>
      <c r="FE20" s="131"/>
      <c r="FF20" s="131"/>
      <c r="FG20" s="131"/>
      <c r="FH20" s="131"/>
      <c r="FI20" s="131"/>
      <c r="FJ20" s="131"/>
      <c r="FK20" s="131"/>
      <c r="FL20" s="131"/>
      <c r="FM20" s="131"/>
      <c r="FN20" s="131"/>
      <c r="FO20" s="131"/>
      <c r="FP20" s="131"/>
      <c r="FQ20" s="131"/>
      <c r="FR20" s="131"/>
      <c r="FS20" s="131"/>
      <c r="FT20" s="131"/>
      <c r="FU20" s="131"/>
      <c r="FV20" s="131"/>
      <c r="FW20" s="131"/>
      <c r="FX20" s="131"/>
      <c r="FY20" s="131"/>
      <c r="FZ20" s="131"/>
      <c r="GA20" s="131"/>
      <c r="GB20" s="131"/>
      <c r="GC20" s="131"/>
      <c r="GD20" s="131"/>
      <c r="GE20" s="131"/>
      <c r="GF20" s="131"/>
      <c r="GG20" s="131"/>
      <c r="GH20" s="131"/>
      <c r="GI20" s="131"/>
      <c r="GJ20" s="131"/>
      <c r="GK20" s="131"/>
      <c r="GL20" s="131"/>
      <c r="GM20" s="131"/>
      <c r="GN20" s="131"/>
      <c r="GO20" s="131"/>
      <c r="GP20" s="131"/>
      <c r="GQ20" s="131"/>
      <c r="GR20" s="131"/>
      <c r="GS20" s="131"/>
      <c r="GT20" s="131"/>
      <c r="GU20" s="131"/>
      <c r="GV20" s="131"/>
      <c r="GW20" s="131"/>
      <c r="GX20" s="131"/>
      <c r="GY20" s="131"/>
      <c r="GZ20" s="131"/>
      <c r="HA20" s="131"/>
      <c r="HB20" s="131"/>
      <c r="HC20" s="131"/>
      <c r="HD20" s="131"/>
      <c r="HE20" s="131"/>
      <c r="HF20" s="131"/>
      <c r="HG20" s="131"/>
      <c r="HH20" s="131"/>
      <c r="HI20" s="131"/>
      <c r="HJ20" s="131"/>
    </row>
    <row r="21" spans="1:218" s="121" customFormat="1" ht="13.9" x14ac:dyDescent="0.25">
      <c r="A21" s="115" t="s">
        <v>10</v>
      </c>
      <c r="B21" s="115"/>
      <c r="C21" s="115"/>
      <c r="D21" s="112">
        <f>D$18/D$20</f>
        <v>2.2970000000000002</v>
      </c>
      <c r="E21" s="112">
        <f>E$18/E$20</f>
        <v>1.34</v>
      </c>
      <c r="F21" s="112">
        <f>F$18/F$20</f>
        <v>2.91</v>
      </c>
      <c r="G21" s="14"/>
      <c r="H21" s="112"/>
      <c r="I21" s="112"/>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row>
    <row r="22" spans="1:218" s="119" customFormat="1" ht="3" customHeight="1" x14ac:dyDescent="0.25">
      <c r="A22" s="124"/>
      <c r="B22" s="124"/>
      <c r="C22" s="124"/>
      <c r="D22" s="132"/>
      <c r="E22" s="132"/>
      <c r="F22" s="132"/>
      <c r="G22" s="131"/>
      <c r="H22" s="132"/>
      <c r="I22" s="132"/>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c r="DL22" s="131"/>
      <c r="DM22" s="131"/>
      <c r="DN22" s="131"/>
      <c r="DO22" s="131"/>
      <c r="DP22" s="131"/>
      <c r="DQ22" s="131"/>
      <c r="DR22" s="131"/>
      <c r="DS22" s="131"/>
      <c r="DT22" s="131"/>
      <c r="DU22" s="131"/>
      <c r="DV22" s="131"/>
      <c r="DW22" s="131"/>
      <c r="DX22" s="131"/>
      <c r="DY22" s="131"/>
      <c r="DZ22" s="131"/>
      <c r="EA22" s="131"/>
      <c r="EB22" s="131"/>
      <c r="EC22" s="131"/>
      <c r="ED22" s="131"/>
      <c r="EE22" s="131"/>
      <c r="EF22" s="131"/>
      <c r="EG22" s="131"/>
      <c r="EH22" s="131"/>
      <c r="EI22" s="131"/>
      <c r="EJ22" s="131"/>
      <c r="EK22" s="131"/>
      <c r="EL22" s="131"/>
      <c r="EM22" s="131"/>
      <c r="EN22" s="131"/>
      <c r="EO22" s="131"/>
      <c r="EP22" s="131"/>
      <c r="EQ22" s="131"/>
      <c r="ER22" s="131"/>
      <c r="ES22" s="131"/>
      <c r="ET22" s="131"/>
      <c r="EU22" s="131"/>
      <c r="EV22" s="131"/>
      <c r="EW22" s="131"/>
      <c r="EX22" s="131"/>
      <c r="EY22" s="131"/>
      <c r="EZ22" s="131"/>
      <c r="FA22" s="131"/>
      <c r="FB22" s="131"/>
      <c r="FC22" s="131"/>
      <c r="FD22" s="131"/>
      <c r="FE22" s="131"/>
      <c r="FF22" s="131"/>
      <c r="FG22" s="131"/>
      <c r="FH22" s="131"/>
      <c r="FI22" s="131"/>
      <c r="FJ22" s="131"/>
      <c r="FK22" s="131"/>
      <c r="FL22" s="131"/>
      <c r="FM22" s="131"/>
      <c r="FN22" s="131"/>
      <c r="FO22" s="131"/>
      <c r="FP22" s="131"/>
      <c r="FQ22" s="131"/>
      <c r="FR22" s="131"/>
      <c r="FS22" s="131"/>
      <c r="FT22" s="131"/>
      <c r="FU22" s="131"/>
      <c r="FV22" s="131"/>
      <c r="FW22" s="131"/>
      <c r="FX22" s="131"/>
      <c r="FY22" s="131"/>
      <c r="FZ22" s="131"/>
      <c r="GA22" s="131"/>
      <c r="GB22" s="131"/>
      <c r="GC22" s="131"/>
      <c r="GD22" s="131"/>
      <c r="GE22" s="131"/>
      <c r="GF22" s="131"/>
      <c r="GG22" s="131"/>
      <c r="GH22" s="131"/>
      <c r="GI22" s="131"/>
      <c r="GJ22" s="131"/>
      <c r="GK22" s="131"/>
      <c r="GL22" s="131"/>
      <c r="GM22" s="131"/>
      <c r="GN22" s="131"/>
      <c r="GO22" s="131"/>
      <c r="GP22" s="131"/>
      <c r="GQ22" s="131"/>
      <c r="GR22" s="131"/>
      <c r="GS22" s="131"/>
      <c r="GT22" s="131"/>
      <c r="GU22" s="131"/>
      <c r="GV22" s="131"/>
      <c r="GW22" s="131"/>
      <c r="GX22" s="131"/>
      <c r="GY22" s="131"/>
      <c r="GZ22" s="131"/>
      <c r="HA22" s="131"/>
      <c r="HB22" s="131"/>
      <c r="HC22" s="131"/>
      <c r="HD22" s="131"/>
      <c r="HE22" s="131"/>
      <c r="HF22" s="131"/>
      <c r="HG22" s="131"/>
      <c r="HH22" s="131"/>
      <c r="HI22" s="131"/>
      <c r="HJ22" s="131"/>
    </row>
    <row r="23" spans="1:218" s="119" customFormat="1" ht="3" customHeight="1" x14ac:dyDescent="0.25">
      <c r="A23" s="124"/>
      <c r="B23" s="124"/>
      <c r="C23" s="124"/>
      <c r="D23" s="132"/>
      <c r="E23" s="132"/>
      <c r="F23" s="132"/>
      <c r="G23" s="131"/>
      <c r="H23" s="132"/>
      <c r="I23" s="132"/>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DD23" s="131"/>
      <c r="DE23" s="131"/>
      <c r="DF23" s="131"/>
      <c r="DG23" s="131"/>
      <c r="DH23" s="131"/>
      <c r="DI23" s="131"/>
      <c r="DJ23" s="131"/>
      <c r="DK23" s="131"/>
      <c r="DL23" s="131"/>
      <c r="DM23" s="131"/>
      <c r="DN23" s="131"/>
      <c r="DO23" s="131"/>
      <c r="DP23" s="131"/>
      <c r="DQ23" s="131"/>
      <c r="DR23" s="131"/>
      <c r="DS23" s="131"/>
      <c r="DT23" s="131"/>
      <c r="DU23" s="131"/>
      <c r="DV23" s="131"/>
      <c r="DW23" s="131"/>
      <c r="DX23" s="131"/>
      <c r="DY23" s="131"/>
      <c r="DZ23" s="131"/>
      <c r="EA23" s="131"/>
      <c r="EB23" s="131"/>
      <c r="EC23" s="131"/>
      <c r="ED23" s="131"/>
      <c r="EE23" s="131"/>
      <c r="EF23" s="131"/>
      <c r="EG23" s="131"/>
      <c r="EH23" s="131"/>
      <c r="EI23" s="131"/>
      <c r="EJ23" s="131"/>
      <c r="EK23" s="131"/>
      <c r="EL23" s="131"/>
      <c r="EM23" s="131"/>
      <c r="EN23" s="131"/>
      <c r="EO23" s="131"/>
      <c r="EP23" s="131"/>
      <c r="EQ23" s="131"/>
      <c r="ER23" s="131"/>
      <c r="ES23" s="131"/>
      <c r="ET23" s="131"/>
      <c r="EU23" s="131"/>
      <c r="EV23" s="131"/>
      <c r="EW23" s="131"/>
      <c r="EX23" s="131"/>
      <c r="EY23" s="131"/>
      <c r="EZ23" s="131"/>
      <c r="FA23" s="131"/>
      <c r="FB23" s="131"/>
      <c r="FC23" s="131"/>
      <c r="FD23" s="131"/>
      <c r="FE23" s="131"/>
      <c r="FF23" s="131"/>
      <c r="FG23" s="131"/>
      <c r="FH23" s="131"/>
      <c r="FI23" s="131"/>
      <c r="FJ23" s="131"/>
      <c r="FK23" s="131"/>
      <c r="FL23" s="131"/>
      <c r="FM23" s="131"/>
      <c r="FN23" s="131"/>
      <c r="FO23" s="131"/>
      <c r="FP23" s="131"/>
      <c r="FQ23" s="131"/>
      <c r="FR23" s="131"/>
      <c r="FS23" s="131"/>
      <c r="FT23" s="131"/>
      <c r="FU23" s="131"/>
      <c r="FV23" s="131"/>
      <c r="FW23" s="131"/>
      <c r="FX23" s="131"/>
      <c r="FY23" s="131"/>
      <c r="FZ23" s="131"/>
      <c r="GA23" s="131"/>
      <c r="GB23" s="131"/>
      <c r="GC23" s="131"/>
      <c r="GD23" s="131"/>
      <c r="GE23" s="131"/>
      <c r="GF23" s="131"/>
      <c r="GG23" s="131"/>
      <c r="GH23" s="131"/>
      <c r="GI23" s="131"/>
      <c r="GJ23" s="131"/>
      <c r="GK23" s="131"/>
      <c r="GL23" s="131"/>
      <c r="GM23" s="131"/>
      <c r="GN23" s="131"/>
      <c r="GO23" s="131"/>
      <c r="GP23" s="131"/>
      <c r="GQ23" s="131"/>
      <c r="GR23" s="131"/>
      <c r="GS23" s="131"/>
      <c r="GT23" s="131"/>
      <c r="GU23" s="131"/>
      <c r="GV23" s="131"/>
      <c r="GW23" s="131"/>
      <c r="GX23" s="131"/>
      <c r="GY23" s="131"/>
      <c r="GZ23" s="131"/>
      <c r="HA23" s="131"/>
      <c r="HB23" s="131"/>
      <c r="HC23" s="131"/>
      <c r="HD23" s="131"/>
      <c r="HE23" s="131"/>
      <c r="HF23" s="131"/>
      <c r="HG23" s="131"/>
      <c r="HH23" s="131"/>
      <c r="HI23" s="131"/>
      <c r="HJ23" s="131"/>
    </row>
    <row r="24" spans="1:218" ht="25.15" customHeight="1" x14ac:dyDescent="0.5">
      <c r="A24" s="322" t="s">
        <v>57</v>
      </c>
      <c r="B24" s="322"/>
      <c r="C24" s="322"/>
      <c r="D24" s="322"/>
      <c r="E24" s="322"/>
      <c r="F24" s="322"/>
      <c r="G24" s="14"/>
    </row>
    <row r="25" spans="1:218" ht="20.45" customHeight="1" x14ac:dyDescent="0.4">
      <c r="A25" s="320" t="s">
        <v>88</v>
      </c>
      <c r="B25" s="320"/>
      <c r="C25" s="320"/>
      <c r="D25" s="320"/>
      <c r="E25" s="320"/>
      <c r="F25" s="320"/>
      <c r="G25" s="14"/>
      <c r="K25" s="105"/>
    </row>
    <row r="26" spans="1:218" s="119" customFormat="1" ht="16.149999999999999" customHeight="1" x14ac:dyDescent="0.35">
      <c r="A26" s="321" t="s">
        <v>194</v>
      </c>
      <c r="B26" s="321"/>
      <c r="C26" s="321"/>
      <c r="D26" s="321"/>
      <c r="E26" s="321"/>
      <c r="F26" s="321"/>
      <c r="G26" s="132"/>
      <c r="H26" s="132"/>
      <c r="I26" s="132"/>
      <c r="J26" s="131"/>
      <c r="K26" s="132"/>
      <c r="L26" s="132"/>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131"/>
      <c r="CG26" s="131"/>
      <c r="CH26" s="131"/>
      <c r="CI26" s="131"/>
      <c r="CJ26" s="131"/>
      <c r="CK26" s="131"/>
      <c r="CL26" s="131"/>
      <c r="CM26" s="131"/>
      <c r="CN26" s="131"/>
      <c r="CO26" s="131"/>
      <c r="CP26" s="131"/>
      <c r="CQ26" s="131"/>
      <c r="CR26" s="131"/>
      <c r="CS26" s="131"/>
      <c r="CT26" s="131"/>
      <c r="CU26" s="131"/>
      <c r="CV26" s="131"/>
      <c r="CW26" s="131"/>
      <c r="CX26" s="131"/>
      <c r="CY26" s="131"/>
      <c r="CZ26" s="131"/>
      <c r="DA26" s="131"/>
      <c r="DB26" s="131"/>
      <c r="DC26" s="131"/>
      <c r="DD26" s="131"/>
      <c r="DE26" s="131"/>
      <c r="DF26" s="131"/>
      <c r="DG26" s="131"/>
      <c r="DH26" s="131"/>
      <c r="DI26" s="131"/>
      <c r="DJ26" s="131"/>
      <c r="DK26" s="131"/>
      <c r="DL26" s="131"/>
      <c r="DM26" s="131"/>
      <c r="DN26" s="131"/>
      <c r="DO26" s="131"/>
      <c r="DP26" s="131"/>
      <c r="DQ26" s="131"/>
      <c r="DR26" s="131"/>
      <c r="DS26" s="131"/>
      <c r="DT26" s="131"/>
      <c r="DU26" s="131"/>
      <c r="DV26" s="131"/>
      <c r="DW26" s="131"/>
      <c r="DX26" s="131"/>
      <c r="DY26" s="131"/>
      <c r="DZ26" s="131"/>
      <c r="EA26" s="131"/>
      <c r="EB26" s="131"/>
      <c r="EC26" s="131"/>
      <c r="ED26" s="131"/>
      <c r="EE26" s="131"/>
      <c r="EF26" s="131"/>
      <c r="EG26" s="131"/>
      <c r="EH26" s="131"/>
      <c r="EI26" s="131"/>
      <c r="EJ26" s="131"/>
      <c r="EK26" s="131"/>
      <c r="EL26" s="131"/>
      <c r="EM26" s="131"/>
      <c r="EN26" s="131"/>
      <c r="EO26" s="131"/>
      <c r="EP26" s="131"/>
      <c r="EQ26" s="131"/>
      <c r="ER26" s="131"/>
      <c r="ES26" s="131"/>
      <c r="ET26" s="131"/>
      <c r="EU26" s="131"/>
      <c r="EV26" s="131"/>
      <c r="EW26" s="131"/>
      <c r="EX26" s="131"/>
      <c r="EY26" s="131"/>
      <c r="EZ26" s="131"/>
      <c r="FA26" s="131"/>
      <c r="FB26" s="131"/>
      <c r="FC26" s="131"/>
      <c r="FD26" s="131"/>
      <c r="FE26" s="131"/>
      <c r="FF26" s="131"/>
      <c r="FG26" s="131"/>
      <c r="FH26" s="131"/>
      <c r="FI26" s="131"/>
      <c r="FJ26" s="131"/>
      <c r="FK26" s="131"/>
      <c r="FL26" s="131"/>
      <c r="FM26" s="131"/>
      <c r="FN26" s="131"/>
      <c r="FO26" s="131"/>
      <c r="FP26" s="131"/>
      <c r="FQ26" s="131"/>
      <c r="FR26" s="131"/>
      <c r="FS26" s="131"/>
      <c r="FT26" s="131"/>
      <c r="FU26" s="131"/>
      <c r="FV26" s="131"/>
      <c r="FW26" s="131"/>
      <c r="FX26" s="131"/>
      <c r="FY26" s="131"/>
      <c r="FZ26" s="131"/>
      <c r="GA26" s="131"/>
      <c r="GB26" s="131"/>
      <c r="GC26" s="131"/>
      <c r="GD26" s="131"/>
      <c r="GE26" s="131"/>
      <c r="GF26" s="131"/>
      <c r="GG26" s="131"/>
      <c r="GH26" s="131"/>
      <c r="GI26" s="131"/>
      <c r="GJ26" s="131"/>
      <c r="GK26" s="131"/>
      <c r="GL26" s="131"/>
      <c r="GM26" s="131"/>
      <c r="GN26" s="131"/>
      <c r="GO26" s="131"/>
      <c r="GP26" s="131"/>
      <c r="GQ26" s="131"/>
      <c r="GR26" s="131"/>
      <c r="GS26" s="131"/>
      <c r="GT26" s="131"/>
      <c r="GU26" s="131"/>
      <c r="GV26" s="131"/>
      <c r="GW26" s="131"/>
      <c r="GX26" s="131"/>
      <c r="GY26" s="131"/>
      <c r="GZ26" s="131"/>
      <c r="HA26" s="131"/>
      <c r="HB26" s="131"/>
      <c r="HC26" s="131"/>
      <c r="HD26" s="131"/>
      <c r="HE26" s="131"/>
      <c r="HF26" s="131"/>
      <c r="HG26" s="131"/>
      <c r="HH26" s="131"/>
      <c r="HI26" s="131"/>
      <c r="HJ26" s="131"/>
    </row>
    <row r="27" spans="1:218" s="119" customFormat="1" ht="3" hidden="1" customHeight="1" x14ac:dyDescent="0.25">
      <c r="A27" s="107"/>
      <c r="B27" s="107"/>
      <c r="C27" s="107"/>
      <c r="D27" s="107"/>
      <c r="E27" s="107"/>
      <c r="F27" s="107"/>
      <c r="G27" s="132"/>
      <c r="H27" s="132"/>
      <c r="I27" s="132"/>
      <c r="J27" s="131"/>
      <c r="K27" s="132"/>
      <c r="L27" s="132"/>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c r="GP27" s="131"/>
      <c r="GQ27" s="131"/>
      <c r="GR27" s="131"/>
      <c r="GS27" s="131"/>
      <c r="GT27" s="131"/>
      <c r="GU27" s="131"/>
      <c r="GV27" s="131"/>
      <c r="GW27" s="131"/>
      <c r="GX27" s="131"/>
      <c r="GY27" s="131"/>
      <c r="GZ27" s="131"/>
      <c r="HA27" s="131"/>
      <c r="HB27" s="131"/>
      <c r="HC27" s="131"/>
      <c r="HD27" s="131"/>
      <c r="HE27" s="131"/>
      <c r="HF27" s="131"/>
      <c r="HG27" s="131"/>
      <c r="HH27" s="131"/>
      <c r="HI27" s="131"/>
      <c r="HJ27" s="131"/>
    </row>
    <row r="28" spans="1:218" s="8" customFormat="1" ht="16.149999999999999" thickBot="1" x14ac:dyDescent="0.35">
      <c r="A28" s="124"/>
      <c r="B28" s="124"/>
      <c r="C28" s="124"/>
      <c r="D28" s="125">
        <v>2011</v>
      </c>
      <c r="E28" s="125">
        <v>2012</v>
      </c>
      <c r="F28" s="125">
        <v>2013</v>
      </c>
      <c r="G28" s="131"/>
      <c r="H28" s="133"/>
      <c r="I28" s="133"/>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c r="BQ28" s="131"/>
      <c r="BR28" s="131"/>
      <c r="BS28" s="131"/>
      <c r="BT28" s="131"/>
      <c r="BU28" s="131"/>
      <c r="BV28" s="131"/>
      <c r="BW28" s="131"/>
      <c r="BX28" s="131"/>
      <c r="BY28" s="131"/>
      <c r="BZ28" s="131"/>
      <c r="CA28" s="131"/>
      <c r="CB28" s="131"/>
      <c r="CC28" s="131"/>
      <c r="CD28" s="131"/>
      <c r="CE28" s="131"/>
      <c r="CF28" s="131"/>
      <c r="CG28" s="131"/>
      <c r="CH28" s="131"/>
      <c r="CI28" s="131"/>
      <c r="CJ28" s="131"/>
      <c r="CK28" s="131"/>
      <c r="CL28" s="131"/>
      <c r="CM28" s="131"/>
      <c r="CN28" s="131"/>
      <c r="CO28" s="131"/>
      <c r="CP28" s="131"/>
      <c r="CQ28" s="131"/>
      <c r="CR28" s="131"/>
      <c r="CS28" s="131"/>
      <c r="CT28" s="131"/>
      <c r="CU28" s="131"/>
      <c r="CV28" s="131"/>
      <c r="CW28" s="131"/>
      <c r="CX28" s="131"/>
      <c r="CY28" s="131"/>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31"/>
      <c r="EJ28" s="131"/>
      <c r="EK28" s="131"/>
      <c r="EL28" s="131"/>
      <c r="EM28" s="131"/>
      <c r="EN28" s="131"/>
      <c r="EO28" s="131"/>
      <c r="EP28" s="131"/>
      <c r="EQ28" s="131"/>
      <c r="ER28" s="131"/>
      <c r="ES28" s="131"/>
      <c r="ET28" s="131"/>
      <c r="EU28" s="131"/>
      <c r="EV28" s="131"/>
      <c r="EW28" s="131"/>
      <c r="EX28" s="131"/>
      <c r="EY28" s="131"/>
      <c r="EZ28" s="131"/>
      <c r="FA28" s="131"/>
      <c r="FB28" s="131"/>
      <c r="FC28" s="131"/>
      <c r="FD28" s="131"/>
      <c r="FE28" s="131"/>
      <c r="FF28" s="131"/>
      <c r="FG28" s="131"/>
      <c r="FH28" s="131"/>
      <c r="FI28" s="131"/>
      <c r="FJ28" s="131"/>
      <c r="FK28" s="131"/>
      <c r="FL28" s="131"/>
      <c r="FM28" s="131"/>
      <c r="FN28" s="131"/>
      <c r="FO28" s="131"/>
      <c r="FP28" s="131"/>
      <c r="FQ28" s="131"/>
      <c r="FR28" s="131"/>
      <c r="FS28" s="131"/>
      <c r="FT28" s="131"/>
      <c r="FU28" s="131"/>
      <c r="FV28" s="131"/>
      <c r="FW28" s="131"/>
      <c r="FX28" s="131"/>
      <c r="FY28" s="131"/>
      <c r="FZ28" s="131"/>
      <c r="GA28" s="131"/>
      <c r="GB28" s="131"/>
      <c r="GC28" s="131"/>
      <c r="GD28" s="131"/>
      <c r="GE28" s="131"/>
      <c r="GF28" s="131"/>
      <c r="GG28" s="131"/>
      <c r="GH28" s="131"/>
      <c r="GI28" s="131"/>
      <c r="GJ28" s="131"/>
      <c r="GK28" s="131"/>
      <c r="GL28" s="131"/>
      <c r="GM28" s="131"/>
      <c r="GN28" s="131"/>
      <c r="GO28" s="131"/>
      <c r="GP28" s="131"/>
      <c r="GQ28" s="131"/>
      <c r="GR28" s="131"/>
      <c r="GS28" s="131"/>
      <c r="GT28" s="131"/>
      <c r="GU28" s="131"/>
      <c r="GV28" s="131"/>
      <c r="GW28" s="131"/>
      <c r="GX28" s="131"/>
      <c r="GY28" s="131"/>
      <c r="GZ28" s="131"/>
      <c r="HA28" s="131"/>
      <c r="HB28" s="131"/>
      <c r="HC28" s="131"/>
      <c r="HD28" s="131"/>
      <c r="HE28" s="131"/>
      <c r="HF28" s="131"/>
      <c r="HG28" s="131"/>
      <c r="HH28" s="131"/>
      <c r="HI28" s="131"/>
      <c r="HJ28" s="131"/>
    </row>
    <row r="29" spans="1:218" ht="13.15" customHeight="1" x14ac:dyDescent="0.25">
      <c r="A29" s="115" t="str">
        <f t="shared" ref="A29:A39" si="0">A8</f>
        <v>Revenue</v>
      </c>
      <c r="B29" s="115"/>
      <c r="C29" s="115"/>
      <c r="D29" s="150">
        <f t="shared" ref="D29:D39" si="1">$D8/$D$8</f>
        <v>1</v>
      </c>
      <c r="E29" s="150">
        <f t="shared" ref="E29:E39" si="2">$E8/$E$8</f>
        <v>1</v>
      </c>
      <c r="F29" s="150">
        <f t="shared" ref="F29:F39" si="3">$F8/$F$8</f>
        <v>1</v>
      </c>
      <c r="G29" s="14"/>
      <c r="H29" s="134"/>
      <c r="I29" s="134"/>
    </row>
    <row r="30" spans="1:218" ht="13.15" customHeight="1" x14ac:dyDescent="0.25">
      <c r="A30" s="126" t="str">
        <f t="shared" si="0"/>
        <v>Cost of Goods Sold</v>
      </c>
      <c r="B30" s="126"/>
      <c r="C30" s="126"/>
      <c r="D30" s="151">
        <f t="shared" si="1"/>
        <v>0.6437078618313582</v>
      </c>
      <c r="E30" s="151">
        <f t="shared" si="2"/>
        <v>0.706232288489411</v>
      </c>
      <c r="F30" s="151">
        <f t="shared" si="3"/>
        <v>0.64336547699533853</v>
      </c>
      <c r="G30" s="14"/>
      <c r="H30" s="134"/>
      <c r="I30" s="134"/>
    </row>
    <row r="31" spans="1:218" ht="13.15" customHeight="1" x14ac:dyDescent="0.25">
      <c r="A31" s="115" t="str">
        <f t="shared" si="0"/>
        <v>Gross Profit</v>
      </c>
      <c r="B31" s="115"/>
      <c r="C31" s="115"/>
      <c r="D31" s="150">
        <f t="shared" si="1"/>
        <v>0.3562921381686418</v>
      </c>
      <c r="E31" s="150">
        <f t="shared" si="2"/>
        <v>0.29376771151058906</v>
      </c>
      <c r="F31" s="150">
        <f t="shared" si="3"/>
        <v>0.35663452300466142</v>
      </c>
      <c r="G31" s="14"/>
      <c r="H31" s="134"/>
      <c r="I31" s="134"/>
      <c r="P31" s="14" t="s">
        <v>73</v>
      </c>
    </row>
    <row r="32" spans="1:218" ht="13.15" customHeight="1" x14ac:dyDescent="0.25">
      <c r="A32" s="126" t="str">
        <f t="shared" si="0"/>
        <v>SG&amp;A</v>
      </c>
      <c r="B32" s="126"/>
      <c r="C32" s="126"/>
      <c r="D32" s="151">
        <f t="shared" si="1"/>
        <v>0.21741067450770737</v>
      </c>
      <c r="E32" s="151">
        <f t="shared" si="2"/>
        <v>0.21301403941419517</v>
      </c>
      <c r="F32" s="151">
        <f t="shared" si="3"/>
        <v>0.24363946909582607</v>
      </c>
      <c r="G32" s="14"/>
      <c r="H32" s="134"/>
      <c r="I32" s="134"/>
    </row>
    <row r="33" spans="1:218" ht="13.15" customHeight="1" x14ac:dyDescent="0.3">
      <c r="A33" s="127" t="str">
        <f t="shared" si="0"/>
        <v>EBITDA</v>
      </c>
      <c r="B33" s="127"/>
      <c r="C33" s="127"/>
      <c r="D33" s="152">
        <f t="shared" si="1"/>
        <v>0.1388814636609344</v>
      </c>
      <c r="E33" s="152">
        <f t="shared" si="2"/>
        <v>8.0753672096393878E-2</v>
      </c>
      <c r="F33" s="152">
        <f t="shared" si="3"/>
        <v>0.11299505390883535</v>
      </c>
      <c r="G33" s="14"/>
      <c r="H33" s="134"/>
      <c r="I33" s="134"/>
    </row>
    <row r="34" spans="1:218" ht="13.15" customHeight="1" x14ac:dyDescent="0.25">
      <c r="A34" s="126" t="str">
        <f t="shared" si="0"/>
        <v>Depreciation &amp; Amortization</v>
      </c>
      <c r="B34" s="126"/>
      <c r="C34" s="126"/>
      <c r="D34" s="151">
        <f t="shared" si="1"/>
        <v>2.5839793281653745E-2</v>
      </c>
      <c r="E34" s="151">
        <f t="shared" si="2"/>
        <v>2.6110281869902871E-2</v>
      </c>
      <c r="F34" s="151">
        <f t="shared" si="3"/>
        <v>2.6865459203643739E-2</v>
      </c>
      <c r="G34" s="14"/>
      <c r="H34" s="134"/>
      <c r="I34" s="134"/>
    </row>
    <row r="35" spans="1:218" ht="13.15" customHeight="1" x14ac:dyDescent="0.25">
      <c r="A35" s="115" t="str">
        <f t="shared" si="0"/>
        <v>EBIT</v>
      </c>
      <c r="B35" s="115"/>
      <c r="C35" s="115"/>
      <c r="D35" s="150">
        <f t="shared" si="1"/>
        <v>0.11304167037928065</v>
      </c>
      <c r="E35" s="150">
        <f t="shared" si="2"/>
        <v>5.4643390226491013E-2</v>
      </c>
      <c r="F35" s="150">
        <f t="shared" si="3"/>
        <v>8.6129594705191617E-2</v>
      </c>
      <c r="G35" s="14"/>
      <c r="H35" s="134"/>
      <c r="I35" s="134"/>
    </row>
    <row r="36" spans="1:218" ht="13.15" customHeight="1" x14ac:dyDescent="0.25">
      <c r="A36" s="126" t="str">
        <f t="shared" si="0"/>
        <v>Interest Expense</v>
      </c>
      <c r="B36" s="126"/>
      <c r="C36" s="126"/>
      <c r="D36" s="151">
        <f t="shared" si="1"/>
        <v>1.5592978704446226E-2</v>
      </c>
      <c r="E36" s="151">
        <f t="shared" si="2"/>
        <v>1.3217383780041966E-2</v>
      </c>
      <c r="F36" s="151">
        <f t="shared" si="3"/>
        <v>1.2169519268405508E-2</v>
      </c>
      <c r="G36" s="14"/>
      <c r="H36" s="134"/>
      <c r="I36" s="134"/>
    </row>
    <row r="37" spans="1:218" ht="13.15" customHeight="1" x14ac:dyDescent="0.25">
      <c r="A37" s="115" t="str">
        <f t="shared" si="0"/>
        <v>Income Before Tax</v>
      </c>
      <c r="B37" s="115"/>
      <c r="C37" s="115"/>
      <c r="D37" s="150">
        <f t="shared" si="1"/>
        <v>9.7448691674834415E-2</v>
      </c>
      <c r="E37" s="150">
        <f t="shared" si="2"/>
        <v>4.1426006446449046E-2</v>
      </c>
      <c r="F37" s="150">
        <f t="shared" si="3"/>
        <v>7.3960075436786107E-2</v>
      </c>
      <c r="G37" s="14"/>
      <c r="H37" s="134"/>
      <c r="I37" s="134"/>
    </row>
    <row r="38" spans="1:218" s="8" customFormat="1" ht="13.9" customHeight="1" x14ac:dyDescent="0.25">
      <c r="A38" s="126" t="str">
        <f t="shared" si="0"/>
        <v>Income Tax Expense</v>
      </c>
      <c r="B38" s="126"/>
      <c r="C38" s="126"/>
      <c r="D38" s="151">
        <f t="shared" si="1"/>
        <v>2.9225697228904928E-2</v>
      </c>
      <c r="E38" s="151">
        <f t="shared" si="2"/>
        <v>1.2438618123607416E-2</v>
      </c>
      <c r="F38" s="151">
        <f t="shared" si="3"/>
        <v>2.2186243461552149E-2</v>
      </c>
      <c r="G38" s="131"/>
      <c r="H38" s="135"/>
      <c r="I38" s="135"/>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c r="AG38" s="131"/>
      <c r="AH38" s="131"/>
      <c r="AI38" s="131"/>
      <c r="AJ38" s="131"/>
      <c r="AK38" s="131"/>
      <c r="AL38" s="131"/>
      <c r="AM38" s="131"/>
      <c r="AN38" s="131"/>
      <c r="AO38" s="131"/>
      <c r="AP38" s="131"/>
      <c r="AQ38" s="131"/>
      <c r="AR38" s="131"/>
      <c r="AS38" s="131"/>
      <c r="AT38" s="131"/>
      <c r="AU38" s="131"/>
      <c r="AV38" s="131"/>
      <c r="AW38" s="131"/>
      <c r="AX38" s="131"/>
      <c r="AY38" s="131"/>
      <c r="AZ38" s="131"/>
      <c r="BA38" s="131"/>
      <c r="BB38" s="131"/>
      <c r="BC38" s="131"/>
      <c r="BD38" s="131"/>
      <c r="BE38" s="131"/>
      <c r="BF38" s="131"/>
      <c r="BG38" s="131"/>
      <c r="BH38" s="131"/>
      <c r="BI38" s="131"/>
      <c r="BJ38" s="131"/>
      <c r="BK38" s="131"/>
      <c r="BL38" s="131"/>
      <c r="BM38" s="131"/>
      <c r="BN38" s="131"/>
      <c r="BO38" s="131"/>
      <c r="BP38" s="131"/>
      <c r="BQ38" s="131"/>
      <c r="BR38" s="131"/>
      <c r="BS38" s="131"/>
      <c r="BT38" s="131"/>
      <c r="BU38" s="131"/>
      <c r="BV38" s="131"/>
      <c r="BW38" s="131"/>
      <c r="BX38" s="131"/>
      <c r="BY38" s="131"/>
      <c r="BZ38" s="131"/>
      <c r="CA38" s="131"/>
      <c r="CB38" s="131"/>
      <c r="CC38" s="131"/>
      <c r="CD38" s="131"/>
      <c r="CE38" s="131"/>
      <c r="CF38" s="131"/>
      <c r="CG38" s="131"/>
      <c r="CH38" s="131"/>
      <c r="CI38" s="131"/>
      <c r="CJ38" s="131"/>
      <c r="CK38" s="131"/>
      <c r="CL38" s="131"/>
      <c r="CM38" s="131"/>
      <c r="CN38" s="131"/>
      <c r="CO38" s="131"/>
      <c r="CP38" s="131"/>
      <c r="CQ38" s="131"/>
      <c r="CR38" s="131"/>
      <c r="CS38" s="131"/>
      <c r="CT38" s="131"/>
      <c r="CU38" s="131"/>
      <c r="CV38" s="131"/>
      <c r="CW38" s="131"/>
      <c r="CX38" s="131"/>
      <c r="CY38" s="131"/>
      <c r="CZ38" s="131"/>
      <c r="DA38" s="131"/>
      <c r="DB38" s="131"/>
      <c r="DC38" s="131"/>
      <c r="DD38" s="131"/>
      <c r="DE38" s="131"/>
      <c r="DF38" s="131"/>
      <c r="DG38" s="131"/>
      <c r="DH38" s="131"/>
      <c r="DI38" s="131"/>
      <c r="DJ38" s="131"/>
      <c r="DK38" s="131"/>
      <c r="DL38" s="131"/>
      <c r="DM38" s="131"/>
      <c r="DN38" s="131"/>
      <c r="DO38" s="131"/>
      <c r="DP38" s="131"/>
      <c r="DQ38" s="131"/>
      <c r="DR38" s="131"/>
      <c r="DS38" s="131"/>
      <c r="DT38" s="131"/>
      <c r="DU38" s="131"/>
      <c r="DV38" s="131"/>
      <c r="DW38" s="131"/>
      <c r="DX38" s="131"/>
      <c r="DY38" s="131"/>
      <c r="DZ38" s="131"/>
      <c r="EA38" s="131"/>
      <c r="EB38" s="131"/>
      <c r="EC38" s="131"/>
      <c r="ED38" s="131"/>
      <c r="EE38" s="131"/>
      <c r="EF38" s="131"/>
      <c r="EG38" s="131"/>
      <c r="EH38" s="131"/>
      <c r="EI38" s="131"/>
      <c r="EJ38" s="131"/>
      <c r="EK38" s="131"/>
      <c r="EL38" s="131"/>
      <c r="EM38" s="131"/>
      <c r="EN38" s="131"/>
      <c r="EO38" s="131"/>
      <c r="EP38" s="131"/>
      <c r="EQ38" s="131"/>
      <c r="ER38" s="131"/>
      <c r="ES38" s="131"/>
      <c r="ET38" s="131"/>
      <c r="EU38" s="131"/>
      <c r="EV38" s="131"/>
      <c r="EW38" s="131"/>
      <c r="EX38" s="131"/>
      <c r="EY38" s="131"/>
      <c r="EZ38" s="131"/>
      <c r="FA38" s="131"/>
      <c r="FB38" s="131"/>
      <c r="FC38" s="131"/>
      <c r="FD38" s="131"/>
      <c r="FE38" s="131"/>
      <c r="FF38" s="131"/>
      <c r="FG38" s="131"/>
      <c r="FH38" s="131"/>
      <c r="FI38" s="131"/>
      <c r="FJ38" s="131"/>
      <c r="FK38" s="131"/>
      <c r="FL38" s="131"/>
      <c r="FM38" s="131"/>
      <c r="FN38" s="131"/>
      <c r="FO38" s="131"/>
      <c r="FP38" s="131"/>
      <c r="FQ38" s="131"/>
      <c r="FR38" s="131"/>
      <c r="FS38" s="131"/>
      <c r="FT38" s="131"/>
      <c r="FU38" s="131"/>
      <c r="FV38" s="131"/>
      <c r="FW38" s="131"/>
      <c r="FX38" s="131"/>
      <c r="FY38" s="131"/>
      <c r="FZ38" s="131"/>
      <c r="GA38" s="131"/>
      <c r="GB38" s="131"/>
      <c r="GC38" s="131"/>
      <c r="GD38" s="131"/>
      <c r="GE38" s="131"/>
      <c r="GF38" s="131"/>
      <c r="GG38" s="131"/>
      <c r="GH38" s="131"/>
      <c r="GI38" s="131"/>
      <c r="GJ38" s="131"/>
      <c r="GK38" s="131"/>
      <c r="GL38" s="131"/>
      <c r="GM38" s="131"/>
      <c r="GN38" s="131"/>
      <c r="GO38" s="131"/>
      <c r="GP38" s="131"/>
      <c r="GQ38" s="131"/>
      <c r="GR38" s="131"/>
      <c r="GS38" s="131"/>
      <c r="GT38" s="131"/>
      <c r="GU38" s="131"/>
      <c r="GV38" s="131"/>
      <c r="GW38" s="131"/>
      <c r="GX38" s="131"/>
      <c r="GY38" s="131"/>
      <c r="GZ38" s="131"/>
      <c r="HA38" s="131"/>
      <c r="HB38" s="131"/>
      <c r="HC38" s="131"/>
      <c r="HD38" s="131"/>
      <c r="HE38" s="131"/>
      <c r="HF38" s="131"/>
      <c r="HG38" s="131"/>
      <c r="HH38" s="131"/>
      <c r="HI38" s="131"/>
      <c r="HJ38" s="131"/>
    </row>
    <row r="39" spans="1:218" s="8" customFormat="1" ht="13.9" customHeight="1" x14ac:dyDescent="0.25">
      <c r="A39" s="115" t="str">
        <f t="shared" si="0"/>
        <v>Net Income</v>
      </c>
      <c r="B39" s="115"/>
      <c r="C39" s="115"/>
      <c r="D39" s="150">
        <f t="shared" si="1"/>
        <v>6.8222994445929497E-2</v>
      </c>
      <c r="E39" s="150">
        <f t="shared" si="2"/>
        <v>2.8987388322841628E-2</v>
      </c>
      <c r="F39" s="150">
        <f t="shared" si="3"/>
        <v>5.1773831975233962E-2</v>
      </c>
      <c r="G39" s="131"/>
      <c r="H39" s="135"/>
      <c r="I39" s="135"/>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c r="BM39" s="131"/>
      <c r="BN39" s="131"/>
      <c r="BO39" s="131"/>
      <c r="BP39" s="131"/>
      <c r="BQ39" s="131"/>
      <c r="BR39" s="131"/>
      <c r="BS39" s="131"/>
      <c r="BT39" s="131"/>
      <c r="BU39" s="131"/>
      <c r="BV39" s="131"/>
      <c r="BW39" s="131"/>
      <c r="BX39" s="131"/>
      <c r="BY39" s="131"/>
      <c r="BZ39" s="131"/>
      <c r="CA39" s="131"/>
      <c r="CB39" s="131"/>
      <c r="CC39" s="131"/>
      <c r="CD39" s="131"/>
      <c r="CE39" s="131"/>
      <c r="CF39" s="131"/>
      <c r="CG39" s="131"/>
      <c r="CH39" s="131"/>
      <c r="CI39" s="131"/>
      <c r="CJ39" s="131"/>
      <c r="CK39" s="131"/>
      <c r="CL39" s="131"/>
      <c r="CM39" s="131"/>
      <c r="CN39" s="131"/>
      <c r="CO39" s="131"/>
      <c r="CP39" s="131"/>
      <c r="CQ39" s="131"/>
      <c r="CR39" s="131"/>
      <c r="CS39" s="131"/>
      <c r="CT39" s="131"/>
      <c r="CU39" s="131"/>
      <c r="CV39" s="131"/>
      <c r="CW39" s="131"/>
      <c r="CX39" s="131"/>
      <c r="CY39" s="131"/>
      <c r="CZ39" s="131"/>
      <c r="DA39" s="131"/>
      <c r="DB39" s="131"/>
      <c r="DC39" s="131"/>
      <c r="DD39" s="131"/>
      <c r="DE39" s="131"/>
      <c r="DF39" s="131"/>
      <c r="DG39" s="131"/>
      <c r="DH39" s="131"/>
      <c r="DI39" s="131"/>
      <c r="DJ39" s="131"/>
      <c r="DK39" s="131"/>
      <c r="DL39" s="131"/>
      <c r="DM39" s="131"/>
      <c r="DN39" s="131"/>
      <c r="DO39" s="131"/>
      <c r="DP39" s="131"/>
      <c r="DQ39" s="131"/>
      <c r="DR39" s="131"/>
      <c r="DS39" s="131"/>
      <c r="DT39" s="131"/>
      <c r="DU39" s="131"/>
      <c r="DV39" s="131"/>
      <c r="DW39" s="131"/>
      <c r="DX39" s="131"/>
      <c r="DY39" s="131"/>
      <c r="DZ39" s="131"/>
      <c r="EA39" s="131"/>
      <c r="EB39" s="131"/>
      <c r="EC39" s="131"/>
      <c r="ED39" s="131"/>
      <c r="EE39" s="131"/>
      <c r="EF39" s="131"/>
      <c r="EG39" s="131"/>
      <c r="EH39" s="131"/>
      <c r="EI39" s="131"/>
      <c r="EJ39" s="131"/>
      <c r="EK39" s="131"/>
      <c r="EL39" s="131"/>
      <c r="EM39" s="131"/>
      <c r="EN39" s="131"/>
      <c r="EO39" s="131"/>
      <c r="EP39" s="131"/>
      <c r="EQ39" s="131"/>
      <c r="ER39" s="131"/>
      <c r="ES39" s="131"/>
      <c r="ET39" s="131"/>
      <c r="EU39" s="131"/>
      <c r="EV39" s="131"/>
      <c r="EW39" s="131"/>
      <c r="EX39" s="131"/>
      <c r="EY39" s="131"/>
      <c r="EZ39" s="131"/>
      <c r="FA39" s="131"/>
      <c r="FB39" s="131"/>
      <c r="FC39" s="131"/>
      <c r="FD39" s="131"/>
      <c r="FE39" s="131"/>
      <c r="FF39" s="131"/>
      <c r="FG39" s="131"/>
      <c r="FH39" s="131"/>
      <c r="FI39" s="131"/>
      <c r="FJ39" s="131"/>
      <c r="FK39" s="131"/>
      <c r="FL39" s="131"/>
      <c r="FM39" s="131"/>
      <c r="FN39" s="131"/>
      <c r="FO39" s="131"/>
      <c r="FP39" s="131"/>
      <c r="FQ39" s="131"/>
      <c r="FR39" s="131"/>
      <c r="FS39" s="131"/>
      <c r="FT39" s="131"/>
      <c r="FU39" s="131"/>
      <c r="FV39" s="131"/>
      <c r="FW39" s="131"/>
      <c r="FX39" s="131"/>
      <c r="FY39" s="131"/>
      <c r="FZ39" s="131"/>
      <c r="GA39" s="131"/>
      <c r="GB39" s="131"/>
      <c r="GC39" s="131"/>
      <c r="GD39" s="131"/>
      <c r="GE39" s="131"/>
      <c r="GF39" s="131"/>
      <c r="GG39" s="131"/>
      <c r="GH39" s="131"/>
      <c r="GI39" s="131"/>
      <c r="GJ39" s="131"/>
      <c r="GK39" s="131"/>
      <c r="GL39" s="131"/>
      <c r="GM39" s="131"/>
      <c r="GN39" s="131"/>
      <c r="GO39" s="131"/>
      <c r="GP39" s="131"/>
      <c r="GQ39" s="131"/>
      <c r="GR39" s="131"/>
      <c r="GS39" s="131"/>
      <c r="GT39" s="131"/>
      <c r="GU39" s="131"/>
      <c r="GV39" s="131"/>
      <c r="GW39" s="131"/>
      <c r="GX39" s="131"/>
      <c r="GY39" s="131"/>
      <c r="GZ39" s="131"/>
      <c r="HA39" s="131"/>
      <c r="HB39" s="131"/>
      <c r="HC39" s="131"/>
      <c r="HD39" s="131"/>
      <c r="HE39" s="131"/>
      <c r="HF39" s="131"/>
      <c r="HG39" s="131"/>
      <c r="HH39" s="131"/>
      <c r="HI39" s="131"/>
      <c r="HJ39" s="131"/>
    </row>
    <row r="40" spans="1:218" s="8" customFormat="1" ht="3" customHeight="1" x14ac:dyDescent="0.25">
      <c r="A40" s="118"/>
      <c r="B40" s="118"/>
      <c r="C40" s="118"/>
      <c r="D40" s="128"/>
      <c r="E40" s="128"/>
      <c r="F40" s="128"/>
      <c r="G40" s="131"/>
      <c r="H40" s="135"/>
      <c r="I40" s="135"/>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c r="BS40" s="131"/>
      <c r="BT40" s="131"/>
      <c r="BU40" s="131"/>
      <c r="BV40" s="131"/>
      <c r="BW40" s="131"/>
      <c r="BX40" s="131"/>
      <c r="BY40" s="131"/>
      <c r="BZ40" s="131"/>
      <c r="CA40" s="131"/>
      <c r="CB40" s="131"/>
      <c r="CC40" s="131"/>
      <c r="CD40" s="131"/>
      <c r="CE40" s="131"/>
      <c r="CF40" s="131"/>
      <c r="CG40" s="131"/>
      <c r="CH40" s="131"/>
      <c r="CI40" s="131"/>
      <c r="CJ40" s="131"/>
      <c r="CK40" s="131"/>
      <c r="CL40" s="131"/>
      <c r="CM40" s="131"/>
      <c r="CN40" s="131"/>
      <c r="CO40" s="131"/>
      <c r="CP40" s="131"/>
      <c r="CQ40" s="131"/>
      <c r="CR40" s="131"/>
      <c r="CS40" s="131"/>
      <c r="CT40" s="131"/>
      <c r="CU40" s="131"/>
      <c r="CV40" s="131"/>
      <c r="CW40" s="131"/>
      <c r="CX40" s="131"/>
      <c r="CY40" s="131"/>
      <c r="CZ40" s="131"/>
      <c r="DA40" s="131"/>
      <c r="DB40" s="131"/>
      <c r="DC40" s="131"/>
      <c r="DD40" s="131"/>
      <c r="DE40" s="131"/>
      <c r="DF40" s="131"/>
      <c r="DG40" s="131"/>
      <c r="DH40" s="131"/>
      <c r="DI40" s="131"/>
      <c r="DJ40" s="131"/>
      <c r="DK40" s="131"/>
      <c r="DL40" s="131"/>
      <c r="DM40" s="131"/>
      <c r="DN40" s="131"/>
      <c r="DO40" s="131"/>
      <c r="DP40" s="131"/>
      <c r="DQ40" s="131"/>
      <c r="DR40" s="131"/>
      <c r="DS40" s="131"/>
      <c r="DT40" s="131"/>
      <c r="DU40" s="131"/>
      <c r="DV40" s="131"/>
      <c r="DW40" s="131"/>
      <c r="DX40" s="131"/>
      <c r="DY40" s="131"/>
      <c r="DZ40" s="131"/>
      <c r="EA40" s="131"/>
      <c r="EB40" s="131"/>
      <c r="EC40" s="131"/>
      <c r="ED40" s="131"/>
      <c r="EE40" s="131"/>
      <c r="EF40" s="131"/>
      <c r="EG40" s="131"/>
      <c r="EH40" s="131"/>
      <c r="EI40" s="131"/>
      <c r="EJ40" s="131"/>
      <c r="EK40" s="131"/>
      <c r="EL40" s="131"/>
      <c r="EM40" s="131"/>
      <c r="EN40" s="131"/>
      <c r="EO40" s="131"/>
      <c r="EP40" s="131"/>
      <c r="EQ40" s="131"/>
      <c r="ER40" s="131"/>
      <c r="ES40" s="131"/>
      <c r="ET40" s="131"/>
      <c r="EU40" s="131"/>
      <c r="EV40" s="131"/>
      <c r="EW40" s="131"/>
      <c r="EX40" s="131"/>
      <c r="EY40" s="131"/>
      <c r="EZ40" s="131"/>
      <c r="FA40" s="131"/>
      <c r="FB40" s="131"/>
      <c r="FC40" s="131"/>
      <c r="FD40" s="131"/>
      <c r="FE40" s="131"/>
      <c r="FF40" s="131"/>
      <c r="FG40" s="131"/>
      <c r="FH40" s="131"/>
      <c r="FI40" s="131"/>
      <c r="FJ40" s="131"/>
      <c r="FK40" s="131"/>
      <c r="FL40" s="131"/>
      <c r="FM40" s="131"/>
      <c r="FN40" s="131"/>
      <c r="FO40" s="131"/>
      <c r="FP40" s="131"/>
      <c r="FQ40" s="131"/>
      <c r="FR40" s="131"/>
      <c r="FS40" s="131"/>
      <c r="FT40" s="131"/>
      <c r="FU40" s="131"/>
      <c r="FV40" s="131"/>
      <c r="FW40" s="131"/>
      <c r="FX40" s="131"/>
      <c r="FY40" s="131"/>
      <c r="FZ40" s="131"/>
      <c r="GA40" s="131"/>
      <c r="GB40" s="131"/>
      <c r="GC40" s="131"/>
      <c r="GD40" s="131"/>
      <c r="GE40" s="131"/>
      <c r="GF40" s="131"/>
      <c r="GG40" s="131"/>
      <c r="GH40" s="131"/>
      <c r="GI40" s="131"/>
      <c r="GJ40" s="131"/>
      <c r="GK40" s="131"/>
      <c r="GL40" s="131"/>
      <c r="GM40" s="131"/>
      <c r="GN40" s="131"/>
      <c r="GO40" s="131"/>
      <c r="GP40" s="131"/>
      <c r="GQ40" s="131"/>
      <c r="GR40" s="131"/>
      <c r="GS40" s="131"/>
      <c r="GT40" s="131"/>
      <c r="GU40" s="131"/>
      <c r="GV40" s="131"/>
      <c r="GW40" s="131"/>
      <c r="GX40" s="131"/>
      <c r="GY40" s="131"/>
      <c r="GZ40" s="131"/>
      <c r="HA40" s="131"/>
      <c r="HB40" s="131"/>
      <c r="HC40" s="131"/>
      <c r="HD40" s="131"/>
      <c r="HE40" s="131"/>
      <c r="HF40" s="131"/>
      <c r="HG40" s="131"/>
      <c r="HH40" s="131"/>
      <c r="HI40" s="131"/>
      <c r="HJ40" s="131"/>
    </row>
    <row r="41" spans="1:218" ht="1.9" customHeight="1" x14ac:dyDescent="0.25">
      <c r="G41" s="14"/>
      <c r="H41" s="136"/>
      <c r="I41" s="136"/>
    </row>
    <row r="42" spans="1:218" ht="26.45" customHeight="1" x14ac:dyDescent="0.5">
      <c r="A42" s="322" t="s">
        <v>57</v>
      </c>
      <c r="B42" s="322"/>
      <c r="C42" s="322"/>
      <c r="D42" s="322"/>
      <c r="E42" s="322"/>
      <c r="F42" s="322"/>
      <c r="G42" s="14"/>
      <c r="H42" s="137"/>
      <c r="I42" s="137"/>
      <c r="J42" s="137"/>
    </row>
    <row r="43" spans="1:218" ht="20.45" customHeight="1" x14ac:dyDescent="0.4">
      <c r="A43" s="320" t="s">
        <v>88</v>
      </c>
      <c r="B43" s="320"/>
      <c r="C43" s="320"/>
      <c r="D43" s="320"/>
      <c r="E43" s="320"/>
      <c r="F43" s="320"/>
      <c r="G43" s="14"/>
      <c r="H43" s="105"/>
      <c r="I43" s="105"/>
      <c r="J43" s="105"/>
    </row>
    <row r="44" spans="1:218" ht="15" customHeight="1" x14ac:dyDescent="0.35">
      <c r="A44" s="321" t="s">
        <v>207</v>
      </c>
      <c r="B44" s="321"/>
      <c r="C44" s="321"/>
      <c r="D44" s="321"/>
      <c r="E44" s="321"/>
      <c r="F44" s="321"/>
      <c r="G44" s="14"/>
      <c r="H44" s="106"/>
      <c r="I44" s="106"/>
      <c r="J44" s="106"/>
    </row>
    <row r="45" spans="1:218" s="14" customFormat="1" ht="1.1499999999999999" hidden="1" customHeight="1" x14ac:dyDescent="0.3">
      <c r="A45" s="118"/>
      <c r="B45" s="118"/>
      <c r="C45" s="118"/>
      <c r="D45" s="129"/>
      <c r="E45" s="129"/>
      <c r="F45" s="129"/>
      <c r="H45" s="129"/>
      <c r="I45" s="129"/>
      <c r="J45" s="129"/>
    </row>
    <row r="46" spans="1:218" s="14" customFormat="1" ht="16.149999999999999" thickBot="1" x14ac:dyDescent="0.35">
      <c r="A46" s="118"/>
      <c r="B46" s="118"/>
      <c r="C46" s="118"/>
      <c r="D46" s="1"/>
      <c r="E46" s="153" t="s">
        <v>198</v>
      </c>
      <c r="F46" s="153" t="s">
        <v>199</v>
      </c>
      <c r="G46" s="1"/>
      <c r="H46" s="138"/>
      <c r="I46" s="138"/>
      <c r="J46" s="138"/>
    </row>
    <row r="47" spans="1:218" s="14" customFormat="1" ht="14.45" x14ac:dyDescent="0.3">
      <c r="A47" s="115" t="s">
        <v>3</v>
      </c>
      <c r="B47" s="115"/>
      <c r="C47" s="115"/>
      <c r="D47"/>
      <c r="E47" s="147">
        <f t="shared" ref="E47:F57" si="4">(E8/D8)-1</f>
        <v>0.37298405061035367</v>
      </c>
      <c r="F47" s="147">
        <f t="shared" si="4"/>
        <v>0.2158695134877886</v>
      </c>
      <c r="G47"/>
    </row>
    <row r="48" spans="1:218" s="14" customFormat="1" x14ac:dyDescent="0.25">
      <c r="A48" s="126" t="s">
        <v>4</v>
      </c>
      <c r="B48" s="126"/>
      <c r="C48" s="126"/>
      <c r="D48"/>
      <c r="E48" s="148">
        <f t="shared" si="4"/>
        <v>0.50634429935864911</v>
      </c>
      <c r="F48" s="148">
        <f t="shared" si="4"/>
        <v>0.10763622997518918</v>
      </c>
      <c r="G48"/>
    </row>
    <row r="49" spans="1:16" s="14" customFormat="1" x14ac:dyDescent="0.25">
      <c r="A49" s="115" t="s">
        <v>14</v>
      </c>
      <c r="B49" s="115"/>
      <c r="C49" s="115"/>
      <c r="D49"/>
      <c r="E49" s="147">
        <f t="shared" si="4"/>
        <v>0.13204401467155713</v>
      </c>
      <c r="F49" s="147">
        <f t="shared" si="4"/>
        <v>0.47606774668630347</v>
      </c>
      <c r="G49"/>
    </row>
    <row r="50" spans="1:16" s="14" customFormat="1" x14ac:dyDescent="0.25">
      <c r="A50" s="126" t="s">
        <v>5</v>
      </c>
      <c r="B50" s="126"/>
      <c r="C50" s="126"/>
      <c r="D50"/>
      <c r="E50" s="148">
        <f t="shared" si="4"/>
        <v>0.34521857923497268</v>
      </c>
      <c r="F50" s="148">
        <f t="shared" si="4"/>
        <v>0.39067736366406014</v>
      </c>
      <c r="G50"/>
    </row>
    <row r="51" spans="1:16" s="14" customFormat="1" x14ac:dyDescent="0.25">
      <c r="A51" s="127" t="s">
        <v>80</v>
      </c>
      <c r="B51" s="127"/>
      <c r="C51" s="127"/>
      <c r="D51"/>
      <c r="E51" s="147">
        <f t="shared" si="4"/>
        <v>-0.20166809238665528</v>
      </c>
      <c r="F51" s="147">
        <f t="shared" si="4"/>
        <v>0.70131261719796401</v>
      </c>
      <c r="G51"/>
      <c r="L51" s="130"/>
    </row>
    <row r="52" spans="1:16" s="14" customFormat="1" x14ac:dyDescent="0.25">
      <c r="A52" s="126" t="s">
        <v>71</v>
      </c>
      <c r="B52" s="126"/>
      <c r="C52" s="126"/>
      <c r="D52"/>
      <c r="E52" s="148">
        <f t="shared" si="4"/>
        <v>0.38735632183908053</v>
      </c>
      <c r="F52" s="148">
        <f t="shared" si="4"/>
        <v>0.25103562551781278</v>
      </c>
      <c r="G52"/>
    </row>
    <row r="53" spans="1:16" s="14" customFormat="1" x14ac:dyDescent="0.25">
      <c r="A53" s="115" t="s">
        <v>13</v>
      </c>
      <c r="B53" s="115"/>
      <c r="C53" s="115"/>
      <c r="D53"/>
      <c r="E53" s="147">
        <f t="shared" si="4"/>
        <v>-0.33631108775617446</v>
      </c>
      <c r="F53" s="147">
        <f t="shared" si="4"/>
        <v>0.91646872525732381</v>
      </c>
      <c r="G53"/>
    </row>
    <row r="54" spans="1:16" s="14" customFormat="1" x14ac:dyDescent="0.25">
      <c r="A54" s="126" t="s">
        <v>7</v>
      </c>
      <c r="B54" s="126"/>
      <c r="C54" s="126"/>
      <c r="D54"/>
      <c r="E54" s="148">
        <f t="shared" si="4"/>
        <v>0.16380952380952385</v>
      </c>
      <c r="F54" s="148">
        <f t="shared" si="4"/>
        <v>0.11947626841243864</v>
      </c>
      <c r="G54"/>
      <c r="K54" s="67"/>
      <c r="L54" s="67"/>
      <c r="M54" s="67"/>
      <c r="N54" s="67"/>
      <c r="O54" s="117"/>
      <c r="P54" s="67"/>
    </row>
    <row r="55" spans="1:16" s="14" customFormat="1" x14ac:dyDescent="0.25">
      <c r="A55" s="115" t="s">
        <v>12</v>
      </c>
      <c r="B55" s="115"/>
      <c r="C55" s="115"/>
      <c r="D55"/>
      <c r="E55" s="147">
        <f t="shared" si="4"/>
        <v>-0.4163364827796403</v>
      </c>
      <c r="F55" s="147">
        <f t="shared" si="4"/>
        <v>1.1707571801566581</v>
      </c>
      <c r="G55"/>
    </row>
    <row r="56" spans="1:16" s="14" customFormat="1" x14ac:dyDescent="0.25">
      <c r="A56" s="126" t="s">
        <v>8</v>
      </c>
      <c r="B56" s="126"/>
      <c r="C56" s="126"/>
      <c r="D56"/>
      <c r="E56" s="148">
        <f t="shared" si="4"/>
        <v>-0.41565040650406504</v>
      </c>
      <c r="F56" s="148">
        <f t="shared" si="4"/>
        <v>1.1686956521739131</v>
      </c>
      <c r="G56"/>
    </row>
    <row r="57" spans="1:16" s="14" customFormat="1" x14ac:dyDescent="0.25">
      <c r="A57" s="115" t="s">
        <v>9</v>
      </c>
      <c r="B57" s="115"/>
      <c r="C57" s="115"/>
      <c r="D57"/>
      <c r="E57" s="147">
        <f t="shared" si="4"/>
        <v>-0.41663038746190684</v>
      </c>
      <c r="F57" s="147">
        <f t="shared" si="4"/>
        <v>1.1716417910447761</v>
      </c>
      <c r="G57"/>
    </row>
    <row r="58" spans="1:16" s="14" customFormat="1" x14ac:dyDescent="0.25">
      <c r="A58" s="115" t="s">
        <v>10</v>
      </c>
      <c r="B58" s="115"/>
      <c r="C58" s="115"/>
      <c r="D58"/>
      <c r="E58" s="148">
        <f>(E21/D21)-1</f>
        <v>-0.41663038746190684</v>
      </c>
      <c r="F58" s="148">
        <f>(F21/E21)-1</f>
        <v>1.1716417910447761</v>
      </c>
      <c r="G58"/>
    </row>
    <row r="59" spans="1:16" s="131" customFormat="1" ht="29.25" x14ac:dyDescent="0.25">
      <c r="A59" s="124" t="s">
        <v>11</v>
      </c>
      <c r="B59" s="124"/>
      <c r="C59" s="124"/>
      <c r="D59" s="181"/>
      <c r="E59" s="148">
        <f t="shared" ref="E59:F59" si="5">(E20/D20)-1</f>
        <v>0</v>
      </c>
      <c r="F59" s="148">
        <f t="shared" si="5"/>
        <v>0</v>
      </c>
      <c r="G59" s="181"/>
      <c r="K59" s="131" t="s">
        <v>73</v>
      </c>
    </row>
    <row r="77" spans="7:7" x14ac:dyDescent="0.25">
      <c r="G77" s="14"/>
    </row>
    <row r="81" spans="7:15" x14ac:dyDescent="0.25">
      <c r="G81" s="14"/>
      <c r="O81" s="118"/>
    </row>
    <row r="82" spans="7:15" x14ac:dyDescent="0.25">
      <c r="G82" s="14"/>
      <c r="O82" s="140"/>
    </row>
  </sheetData>
  <mergeCells count="10">
    <mergeCell ref="A2:F2"/>
    <mergeCell ref="A3:F3"/>
    <mergeCell ref="A1:F1"/>
    <mergeCell ref="A44:F44"/>
    <mergeCell ref="A42:F42"/>
    <mergeCell ref="A26:F26"/>
    <mergeCell ref="A24:F24"/>
    <mergeCell ref="A25:F25"/>
    <mergeCell ref="A43:F43"/>
    <mergeCell ref="A4:D4"/>
  </mergeCell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102"/>
  <sheetViews>
    <sheetView showGridLines="0" workbookViewId="0">
      <selection activeCell="H19" sqref="H19"/>
    </sheetView>
  </sheetViews>
  <sheetFormatPr defaultColWidth="9.140625" defaultRowHeight="15" x14ac:dyDescent="0.25"/>
  <cols>
    <col min="1" max="1" width="30.85546875" style="1" customWidth="1"/>
    <col min="2" max="3" width="31.42578125" style="1" hidden="1" customWidth="1"/>
    <col min="4" max="4" width="9.140625" style="1" customWidth="1"/>
    <col min="5" max="5" width="8.42578125" style="1" customWidth="1"/>
    <col min="6" max="6" width="9.28515625" style="1" customWidth="1"/>
    <col min="7" max="7" width="11.28515625" style="1" customWidth="1"/>
    <col min="8" max="8" width="11.42578125" style="1" customWidth="1"/>
    <col min="9" max="9" width="11.7109375" style="1" customWidth="1"/>
    <col min="10" max="16384" width="9.140625" style="1"/>
  </cols>
  <sheetData>
    <row r="1" spans="1:9" ht="26.65" customHeight="1" x14ac:dyDescent="0.5">
      <c r="A1" s="325" t="s">
        <v>87</v>
      </c>
      <c r="B1" s="325"/>
      <c r="C1" s="325"/>
      <c r="D1" s="325"/>
      <c r="E1" s="325"/>
      <c r="F1" s="325"/>
      <c r="G1" s="325"/>
      <c r="H1" s="325"/>
      <c r="I1"/>
    </row>
    <row r="2" spans="1:9" s="14" customFormat="1" ht="22.9" x14ac:dyDescent="0.4">
      <c r="A2" s="320" t="s">
        <v>88</v>
      </c>
      <c r="B2" s="320"/>
      <c r="C2" s="320"/>
      <c r="D2" s="320"/>
      <c r="E2" s="320"/>
      <c r="F2" s="320"/>
      <c r="G2" s="105"/>
      <c r="H2" s="105"/>
      <c r="I2" s="105"/>
    </row>
    <row r="3" spans="1:9" s="14" customFormat="1" ht="18" x14ac:dyDescent="0.35">
      <c r="A3" s="321" t="s">
        <v>208</v>
      </c>
      <c r="B3" s="321"/>
      <c r="C3" s="321"/>
      <c r="D3" s="321"/>
      <c r="E3" s="321"/>
      <c r="F3" s="321"/>
      <c r="G3" s="106"/>
      <c r="H3" s="106"/>
      <c r="I3" s="106"/>
    </row>
    <row r="4" spans="1:9" s="14" customFormat="1" ht="1.1499999999999999" customHeight="1" x14ac:dyDescent="0.3">
      <c r="A4"/>
      <c r="B4"/>
      <c r="C4"/>
      <c r="D4"/>
      <c r="E4"/>
      <c r="F4"/>
      <c r="G4" s="221"/>
      <c r="H4" s="106"/>
      <c r="I4" s="106"/>
    </row>
    <row r="5" spans="1:9" s="14" customFormat="1" ht="3" hidden="1" customHeight="1" x14ac:dyDescent="0.25">
      <c r="A5" s="107"/>
      <c r="B5" s="107"/>
      <c r="C5" s="107"/>
      <c r="D5" s="107"/>
      <c r="E5" s="107"/>
      <c r="F5" s="107"/>
      <c r="G5" s="107"/>
      <c r="H5" s="107"/>
      <c r="I5" s="107"/>
    </row>
    <row r="6" spans="1:9" s="14" customFormat="1" ht="13.9" x14ac:dyDescent="0.25">
      <c r="A6" s="249" t="s">
        <v>234</v>
      </c>
      <c r="D6" s="324"/>
      <c r="E6" s="324"/>
      <c r="F6" s="324"/>
      <c r="G6" s="324" t="s">
        <v>2</v>
      </c>
      <c r="H6" s="324"/>
    </row>
    <row r="7" spans="1:9" s="14" customFormat="1" ht="14.45" thickBot="1" x14ac:dyDescent="0.3">
      <c r="D7" s="122">
        <f>'Financial Statement Inputs'!D16</f>
        <v>2011</v>
      </c>
      <c r="E7" s="122">
        <f>'Financial Statement Inputs'!E16</f>
        <v>2012</v>
      </c>
      <c r="F7" s="122">
        <f>'Financial Statement Inputs'!F16</f>
        <v>2013</v>
      </c>
      <c r="G7" s="122" t="str">
        <f>'Financial Statement Inputs'!D16&amp;" to "&amp;'Financial Statement Inputs'!E16</f>
        <v>2011 to 2012</v>
      </c>
      <c r="H7" s="122" t="str">
        <f>'Financial Statement Inputs'!E16&amp;" to "&amp;'Financial Statement Inputs'!F16</f>
        <v>2012 to 2013</v>
      </c>
    </row>
    <row r="8" spans="1:9" s="14" customFormat="1" ht="17.45" x14ac:dyDescent="0.3">
      <c r="A8" s="326" t="s">
        <v>83</v>
      </c>
      <c r="B8" s="326"/>
      <c r="C8" s="326"/>
      <c r="D8" s="326"/>
      <c r="E8" s="326"/>
      <c r="F8" s="326"/>
    </row>
    <row r="9" spans="1:9" s="14" customFormat="1" ht="13.9" x14ac:dyDescent="0.25">
      <c r="A9" s="108" t="s">
        <v>76</v>
      </c>
      <c r="B9" s="108"/>
      <c r="C9" s="108"/>
      <c r="D9" s="67">
        <f>'Financial Statement Inputs'!D36</f>
        <v>682000000</v>
      </c>
      <c r="E9" s="67">
        <f>CashFlows!E36</f>
        <v>3515000000</v>
      </c>
      <c r="F9" s="67">
        <f>CashFlows!F36</f>
        <v>6807000000</v>
      </c>
      <c r="G9" s="67">
        <f t="shared" ref="G9:H13" si="0">E9-D9</f>
        <v>2833000000</v>
      </c>
      <c r="H9" s="67">
        <f t="shared" si="0"/>
        <v>3292000000</v>
      </c>
    </row>
    <row r="10" spans="1:9" s="14" customFormat="1" ht="13.9" x14ac:dyDescent="0.25">
      <c r="A10" s="108" t="s">
        <v>16</v>
      </c>
      <c r="B10" s="108"/>
      <c r="C10" s="108"/>
      <c r="D10" s="197">
        <f>'Financial Statement Inputs'!D37</f>
        <v>5008000000</v>
      </c>
      <c r="E10" s="197">
        <f>'Financial Statement Inputs'!E37</f>
        <v>5083000000</v>
      </c>
      <c r="F10" s="197">
        <f>'Financial Statement Inputs'!F37</f>
        <v>6082000000</v>
      </c>
      <c r="G10" s="197">
        <f t="shared" si="0"/>
        <v>75000000</v>
      </c>
      <c r="H10" s="197">
        <f t="shared" si="0"/>
        <v>999000000</v>
      </c>
    </row>
    <row r="11" spans="1:9" s="14" customFormat="1" ht="13.9" x14ac:dyDescent="0.25">
      <c r="A11" s="108" t="s">
        <v>17</v>
      </c>
      <c r="B11" s="108"/>
      <c r="C11" s="108"/>
      <c r="D11" s="197">
        <f>'Financial Statement Inputs'!D38</f>
        <v>4284000000</v>
      </c>
      <c r="E11" s="197">
        <f>'Financial Statement Inputs'!E38</f>
        <v>4984000000</v>
      </c>
      <c r="F11" s="197">
        <f>'Financial Statement Inputs'!F38</f>
        <v>6460000000</v>
      </c>
      <c r="G11" s="197">
        <f t="shared" si="0"/>
        <v>700000000</v>
      </c>
      <c r="H11" s="197">
        <f t="shared" si="0"/>
        <v>1476000000</v>
      </c>
    </row>
    <row r="12" spans="1:9" s="14" customFormat="1" ht="13.9" x14ac:dyDescent="0.25">
      <c r="A12" s="108" t="s">
        <v>18</v>
      </c>
      <c r="B12" s="108"/>
      <c r="C12" s="108"/>
      <c r="D12" s="196">
        <f>'Financial Statement Inputs'!D39</f>
        <v>766000000</v>
      </c>
      <c r="E12" s="196">
        <f>'Financial Statement Inputs'!E39</f>
        <v>2167000000</v>
      </c>
      <c r="F12" s="196">
        <f>'Financial Statement Inputs'!F39</f>
        <v>1468000000</v>
      </c>
      <c r="G12" s="196">
        <f t="shared" si="0"/>
        <v>1401000000</v>
      </c>
      <c r="H12" s="196">
        <f t="shared" si="0"/>
        <v>-699000000</v>
      </c>
    </row>
    <row r="13" spans="1:9" s="14" customFormat="1" ht="13.9" x14ac:dyDescent="0.25">
      <c r="A13" s="88" t="s">
        <v>190</v>
      </c>
      <c r="B13" s="88"/>
      <c r="C13" s="88"/>
      <c r="D13" s="109">
        <f>SUM(D$9:D$12)</f>
        <v>10740000000</v>
      </c>
      <c r="E13" s="109">
        <f>SUM(E$9:E$12)</f>
        <v>15749000000</v>
      </c>
      <c r="F13" s="109">
        <f>SUM(F$9:F$12)</f>
        <v>20817000000</v>
      </c>
      <c r="G13" s="109">
        <f t="shared" si="0"/>
        <v>5009000000</v>
      </c>
      <c r="H13" s="109">
        <f t="shared" si="0"/>
        <v>5068000000</v>
      </c>
    </row>
    <row r="14" spans="1:9" s="14" customFormat="1" ht="7.15" customHeight="1" x14ac:dyDescent="0.25"/>
    <row r="15" spans="1:9" s="14" customFormat="1" ht="13.9" x14ac:dyDescent="0.25">
      <c r="A15" s="108" t="s">
        <v>191</v>
      </c>
      <c r="B15" s="108"/>
      <c r="C15" s="108"/>
      <c r="D15" s="67">
        <f>'Financial Statement Inputs'!D41</f>
        <v>18842000000</v>
      </c>
      <c r="E15" s="67">
        <f>'Financial Statement Inputs'!E41</f>
        <v>21868000000</v>
      </c>
      <c r="F15" s="67">
        <f>'Financial Statement Inputs'!F41</f>
        <v>26726000000</v>
      </c>
      <c r="G15" s="67">
        <f t="shared" ref="G15:H17" si="1">E15-D15</f>
        <v>3026000000</v>
      </c>
      <c r="H15" s="67">
        <f t="shared" si="1"/>
        <v>4858000000</v>
      </c>
    </row>
    <row r="16" spans="1:9" s="14" customFormat="1" ht="13.9" x14ac:dyDescent="0.25">
      <c r="A16" s="108" t="s">
        <v>21</v>
      </c>
      <c r="B16" s="108"/>
      <c r="C16" s="108"/>
      <c r="D16" s="196">
        <f>'Financial Statement Inputs'!D42</f>
        <v>5066000000</v>
      </c>
      <c r="E16" s="196">
        <f>+D16+IncomeStatements!E13</f>
        <v>6273000000</v>
      </c>
      <c r="F16" s="196">
        <f>+E16+IncomeStatements!F13</f>
        <v>7783000000</v>
      </c>
      <c r="G16" s="196">
        <f t="shared" si="1"/>
        <v>1207000000</v>
      </c>
      <c r="H16" s="196">
        <f t="shared" si="1"/>
        <v>1510000000</v>
      </c>
    </row>
    <row r="17" spans="1:8" s="14" customFormat="1" ht="13.9" x14ac:dyDescent="0.25">
      <c r="A17" s="88" t="s">
        <v>192</v>
      </c>
      <c r="B17" s="88"/>
      <c r="C17" s="88"/>
      <c r="D17" s="109">
        <f>D$15-D$16</f>
        <v>13776000000</v>
      </c>
      <c r="E17" s="109">
        <f>E$15-E$16</f>
        <v>15595000000</v>
      </c>
      <c r="F17" s="109">
        <f>F$15-F$16</f>
        <v>18943000000</v>
      </c>
      <c r="G17" s="109">
        <f t="shared" si="1"/>
        <v>1819000000</v>
      </c>
      <c r="H17" s="109">
        <f t="shared" si="1"/>
        <v>3348000000</v>
      </c>
    </row>
    <row r="18" spans="1:8" s="14" customFormat="1" ht="7.15" customHeight="1" x14ac:dyDescent="0.25">
      <c r="D18" s="67"/>
      <c r="E18" s="67"/>
      <c r="F18" s="67"/>
      <c r="G18" s="67"/>
      <c r="H18" s="67"/>
    </row>
    <row r="19" spans="1:8" s="14" customFormat="1" ht="13.9" x14ac:dyDescent="0.25">
      <c r="A19" s="108" t="s">
        <v>23</v>
      </c>
      <c r="B19" s="108"/>
      <c r="C19" s="108"/>
      <c r="D19" s="67">
        <f>'Financial Statement Inputs'!D44</f>
        <v>1224000000</v>
      </c>
      <c r="E19" s="67">
        <f>'Financial Statement Inputs'!E44</f>
        <v>1642000000</v>
      </c>
      <c r="F19" s="67">
        <f>'Financial Statement Inputs'!F44</f>
        <v>1813000000</v>
      </c>
      <c r="G19" s="67">
        <f>E19-D19</f>
        <v>418000000</v>
      </c>
      <c r="H19" s="67">
        <f>F19-E19</f>
        <v>171000000</v>
      </c>
    </row>
    <row r="20" spans="1:8" s="14" customFormat="1" ht="14.45" thickBot="1" x14ac:dyDescent="0.3">
      <c r="A20" s="113" t="s">
        <v>82</v>
      </c>
      <c r="B20" s="113"/>
      <c r="C20" s="113"/>
      <c r="D20" s="110">
        <f>D$13+D$17+D$19</f>
        <v>25740000000</v>
      </c>
      <c r="E20" s="110">
        <f>E$13+E$17+E$19</f>
        <v>32986000000</v>
      </c>
      <c r="F20" s="110">
        <f>F$13+F$17+F$19</f>
        <v>41573000000</v>
      </c>
      <c r="G20" s="110">
        <f>E20-D20</f>
        <v>7246000000</v>
      </c>
      <c r="H20" s="110">
        <f>F20-E20</f>
        <v>8587000000</v>
      </c>
    </row>
    <row r="21" spans="1:8" s="14" customFormat="1" ht="3" customHeight="1" thickTop="1" x14ac:dyDescent="0.25">
      <c r="D21" s="67"/>
      <c r="E21" s="67"/>
      <c r="F21" s="67"/>
      <c r="G21" s="67"/>
      <c r="H21" s="67"/>
    </row>
    <row r="22" spans="1:8" s="14" customFormat="1" ht="17.45" x14ac:dyDescent="0.3">
      <c r="A22" s="326" t="s">
        <v>84</v>
      </c>
      <c r="B22" s="326"/>
      <c r="C22" s="326"/>
      <c r="D22" s="326"/>
      <c r="E22" s="326"/>
      <c r="F22" s="326"/>
      <c r="G22" s="67"/>
      <c r="H22" s="67"/>
    </row>
    <row r="23" spans="1:8" s="14" customFormat="1" ht="13.9" x14ac:dyDescent="0.25">
      <c r="A23" s="88" t="s">
        <v>85</v>
      </c>
      <c r="B23" s="88"/>
      <c r="C23" s="88"/>
      <c r="D23" s="67"/>
      <c r="E23" s="67"/>
      <c r="F23" s="67"/>
      <c r="G23" s="67"/>
      <c r="H23" s="67"/>
    </row>
    <row r="24" spans="1:8" s="14" customFormat="1" ht="13.9" x14ac:dyDescent="0.25">
      <c r="A24" s="108" t="s">
        <v>27</v>
      </c>
      <c r="B24" s="108"/>
      <c r="C24" s="108"/>
      <c r="D24" s="67">
        <f>'Financial Statement Inputs'!D49</f>
        <v>4215000000</v>
      </c>
      <c r="E24" s="67">
        <f>'Financial Statement Inputs'!E49</f>
        <v>5451000000</v>
      </c>
      <c r="F24" s="67">
        <f>'Financial Statement Inputs'!F49</f>
        <v>6934000000</v>
      </c>
      <c r="G24" s="67">
        <f t="shared" ref="G24:H28" si="2">E24-D24</f>
        <v>1236000000</v>
      </c>
      <c r="H24" s="67">
        <f t="shared" si="2"/>
        <v>1483000000</v>
      </c>
    </row>
    <row r="25" spans="1:8" s="14" customFormat="1" ht="13.9" x14ac:dyDescent="0.25">
      <c r="A25" s="108" t="s">
        <v>28</v>
      </c>
      <c r="B25" s="108"/>
      <c r="C25" s="108"/>
      <c r="D25" s="197">
        <f>'Financial Statement Inputs'!D50</f>
        <v>879000000</v>
      </c>
      <c r="E25" s="197">
        <f>'Financial Statement Inputs'!E50</f>
        <v>1016000000</v>
      </c>
      <c r="F25" s="197">
        <f>'Financial Statement Inputs'!F50</f>
        <v>606000000</v>
      </c>
      <c r="G25" s="197">
        <f t="shared" si="2"/>
        <v>137000000</v>
      </c>
      <c r="H25" s="197">
        <f t="shared" si="2"/>
        <v>-410000000</v>
      </c>
    </row>
    <row r="26" spans="1:8" s="14" customFormat="1" ht="13.9" x14ac:dyDescent="0.25">
      <c r="A26" s="108" t="s">
        <v>29</v>
      </c>
      <c r="B26" s="108"/>
      <c r="C26" s="108"/>
      <c r="D26" s="197">
        <f>'Financial Statement Inputs'!D51</f>
        <v>1390000000</v>
      </c>
      <c r="E26" s="197">
        <f>'Financial Statement Inputs'!E51</f>
        <v>1416000000</v>
      </c>
      <c r="F26" s="197">
        <f>'Financial Statement Inputs'!F51</f>
        <v>1959000000</v>
      </c>
      <c r="G26" s="197">
        <f t="shared" si="2"/>
        <v>26000000</v>
      </c>
      <c r="H26" s="197">
        <f t="shared" si="2"/>
        <v>543000000</v>
      </c>
    </row>
    <row r="27" spans="1:8" s="14" customFormat="1" ht="13.9" x14ac:dyDescent="0.25">
      <c r="A27" s="108" t="s">
        <v>30</v>
      </c>
      <c r="B27" s="108"/>
      <c r="C27" s="108"/>
      <c r="D27" s="196">
        <f>'Financial Statement Inputs'!D52</f>
        <v>287000000</v>
      </c>
      <c r="E27" s="196">
        <f>'Financial Statement Inputs'!E52</f>
        <v>1327000000</v>
      </c>
      <c r="F27" s="196">
        <f>'Financial Statement Inputs'!F52</f>
        <v>364000000</v>
      </c>
      <c r="G27" s="196">
        <f t="shared" si="2"/>
        <v>1040000000</v>
      </c>
      <c r="H27" s="196">
        <f t="shared" si="2"/>
        <v>-963000000</v>
      </c>
    </row>
    <row r="28" spans="1:8" s="14" customFormat="1" ht="13.9" x14ac:dyDescent="0.25">
      <c r="A28" s="88" t="s">
        <v>187</v>
      </c>
      <c r="B28" s="88"/>
      <c r="C28" s="88"/>
      <c r="D28" s="109">
        <f>SUM(D$24:D$27)</f>
        <v>6771000000</v>
      </c>
      <c r="E28" s="109">
        <f>SUM(E$24:E$27)</f>
        <v>9210000000</v>
      </c>
      <c r="F28" s="109">
        <f>SUM(F$24:F$27)</f>
        <v>9863000000</v>
      </c>
      <c r="G28" s="109">
        <f t="shared" si="2"/>
        <v>2439000000</v>
      </c>
      <c r="H28" s="109">
        <f t="shared" si="2"/>
        <v>653000000</v>
      </c>
    </row>
    <row r="29" spans="1:8" s="14" customFormat="1" ht="6.6" customHeight="1" x14ac:dyDescent="0.25"/>
    <row r="30" spans="1:8" s="14" customFormat="1" ht="13.9" x14ac:dyDescent="0.25">
      <c r="A30" s="113" t="s">
        <v>86</v>
      </c>
      <c r="B30" s="113"/>
      <c r="C30" s="113"/>
      <c r="D30" s="88"/>
      <c r="E30" s="88"/>
      <c r="F30" s="88"/>
      <c r="G30" s="88"/>
      <c r="H30" s="88"/>
    </row>
    <row r="31" spans="1:8" s="14" customFormat="1" ht="13.9" x14ac:dyDescent="0.25">
      <c r="A31" s="108" t="s">
        <v>32</v>
      </c>
      <c r="B31" s="108"/>
      <c r="C31" s="108"/>
      <c r="D31" s="67">
        <f>'Financial Statement Inputs'!D55</f>
        <v>1305000000</v>
      </c>
      <c r="E31" s="67">
        <f>'Financial Statement Inputs'!E55</f>
        <v>1996000000</v>
      </c>
      <c r="F31" s="67">
        <f>'Financial Statement Inputs'!F55</f>
        <v>2412000000</v>
      </c>
      <c r="G31" s="67">
        <f t="shared" ref="G31:H34" si="3">E31-D31</f>
        <v>691000000</v>
      </c>
      <c r="H31" s="67">
        <f t="shared" si="3"/>
        <v>416000000</v>
      </c>
    </row>
    <row r="32" spans="1:8" s="14" customFormat="1" ht="13.9" x14ac:dyDescent="0.25">
      <c r="A32" s="108" t="s">
        <v>33</v>
      </c>
      <c r="B32" s="108"/>
      <c r="C32" s="108"/>
      <c r="D32" s="196">
        <f>'Financial Statement Inputs'!D56</f>
        <v>9167000000</v>
      </c>
      <c r="E32" s="196">
        <f>'Financial Statement Inputs'!E56</f>
        <v>12193000000</v>
      </c>
      <c r="F32" s="196">
        <f>'Financial Statement Inputs'!F56</f>
        <v>17051000000</v>
      </c>
      <c r="G32" s="196">
        <f t="shared" si="3"/>
        <v>3026000000</v>
      </c>
      <c r="H32" s="197">
        <f t="shared" si="3"/>
        <v>4858000000</v>
      </c>
    </row>
    <row r="33" spans="1:11" s="14" customFormat="1" ht="13.9" x14ac:dyDescent="0.25">
      <c r="A33" s="113" t="s">
        <v>209</v>
      </c>
      <c r="B33" s="108"/>
      <c r="C33" s="108"/>
      <c r="D33" s="195">
        <f>SUM(D31:D32)</f>
        <v>10472000000</v>
      </c>
      <c r="E33" s="195">
        <f t="shared" ref="E33:F33" si="4">SUM(E31:E32)</f>
        <v>14189000000</v>
      </c>
      <c r="F33" s="195">
        <f t="shared" si="4"/>
        <v>19463000000</v>
      </c>
      <c r="G33" s="67">
        <f t="shared" si="3"/>
        <v>3717000000</v>
      </c>
      <c r="H33" s="195">
        <f t="shared" si="3"/>
        <v>5274000000</v>
      </c>
    </row>
    <row r="34" spans="1:11" s="14" customFormat="1" ht="13.9" x14ac:dyDescent="0.25">
      <c r="A34" s="88" t="s">
        <v>188</v>
      </c>
      <c r="B34" s="88"/>
      <c r="C34" s="88"/>
      <c r="D34" s="114">
        <f>D28+D33</f>
        <v>17243000000</v>
      </c>
      <c r="E34" s="114">
        <f t="shared" ref="E34:F34" si="5">E28+E33</f>
        <v>23399000000</v>
      </c>
      <c r="F34" s="114">
        <f t="shared" si="5"/>
        <v>29326000000</v>
      </c>
      <c r="G34" s="114">
        <f t="shared" si="3"/>
        <v>6156000000</v>
      </c>
      <c r="H34" s="114">
        <f t="shared" si="3"/>
        <v>5927000000</v>
      </c>
    </row>
    <row r="35" spans="1:11" s="14" customFormat="1" ht="9" customHeight="1" x14ac:dyDescent="0.25">
      <c r="D35" s="67"/>
      <c r="E35" s="67"/>
      <c r="F35" s="67"/>
      <c r="G35" s="67"/>
      <c r="H35" s="67"/>
    </row>
    <row r="36" spans="1:11" s="14" customFormat="1" ht="13.9" x14ac:dyDescent="0.25">
      <c r="A36" s="108" t="s">
        <v>35</v>
      </c>
      <c r="B36" s="108"/>
      <c r="C36" s="108"/>
      <c r="D36" s="67">
        <f>'Financial Statement Inputs'!D58</f>
        <v>68000000</v>
      </c>
      <c r="E36" s="67">
        <f>+D36</f>
        <v>68000000</v>
      </c>
      <c r="F36" s="67">
        <f>+E36</f>
        <v>68000000</v>
      </c>
      <c r="G36" s="67">
        <f t="shared" ref="G36:H39" si="6">E36-D36</f>
        <v>0</v>
      </c>
      <c r="H36" s="67">
        <f t="shared" si="6"/>
        <v>0</v>
      </c>
    </row>
    <row r="37" spans="1:11" s="14" customFormat="1" ht="13.9" x14ac:dyDescent="0.25">
      <c r="A37" s="108" t="s">
        <v>36</v>
      </c>
      <c r="B37" s="108"/>
      <c r="C37" s="108"/>
      <c r="D37" s="197">
        <f>'Financial Statement Inputs'!D59</f>
        <v>1130000000</v>
      </c>
      <c r="E37" s="197">
        <f>+D37</f>
        <v>1130000000</v>
      </c>
      <c r="F37" s="197">
        <f>+E37</f>
        <v>1130000000</v>
      </c>
      <c r="G37" s="197">
        <f t="shared" si="6"/>
        <v>0</v>
      </c>
      <c r="H37" s="197">
        <f t="shared" si="6"/>
        <v>0</v>
      </c>
    </row>
    <row r="38" spans="1:11" s="14" customFormat="1" ht="13.9" x14ac:dyDescent="0.25">
      <c r="A38" s="108" t="s">
        <v>37</v>
      </c>
      <c r="B38" s="108"/>
      <c r="C38" s="108"/>
      <c r="D38" s="196">
        <f>'Financial Statement Inputs'!D60</f>
        <v>7299000000</v>
      </c>
      <c r="E38" s="196">
        <f>+D38+IncomeStatements!E18+'Financial Statement Inputs'!E68</f>
        <v>8389000000</v>
      </c>
      <c r="F38" s="196">
        <f>+E38+IncomeStatements!F18+'Financial Statement Inputs'!F68</f>
        <v>11049000000</v>
      </c>
      <c r="G38" s="196">
        <f t="shared" si="6"/>
        <v>1090000000</v>
      </c>
      <c r="H38" s="196">
        <f t="shared" si="6"/>
        <v>2660000000</v>
      </c>
      <c r="K38" s="67"/>
    </row>
    <row r="39" spans="1:11" s="14" customFormat="1" ht="13.9" x14ac:dyDescent="0.25">
      <c r="A39" s="113" t="s">
        <v>90</v>
      </c>
      <c r="B39" s="113"/>
      <c r="C39" s="113"/>
      <c r="D39" s="114">
        <f>SUM(D$36:D$38)</f>
        <v>8497000000</v>
      </c>
      <c r="E39" s="114">
        <f>SUM(E$36:E$38)</f>
        <v>9587000000</v>
      </c>
      <c r="F39" s="114">
        <f>SUM(F$36:F$38)</f>
        <v>12247000000</v>
      </c>
      <c r="G39" s="114">
        <f t="shared" si="6"/>
        <v>1090000000</v>
      </c>
      <c r="H39" s="114">
        <f t="shared" si="6"/>
        <v>2660000000</v>
      </c>
    </row>
    <row r="40" spans="1:11" s="14" customFormat="1" ht="5.45" customHeight="1" x14ac:dyDescent="0.25">
      <c r="A40" s="113"/>
      <c r="B40" s="113"/>
      <c r="C40" s="113"/>
      <c r="D40" s="194"/>
      <c r="E40" s="194"/>
      <c r="F40" s="194"/>
      <c r="G40" s="109"/>
      <c r="H40" s="109"/>
    </row>
    <row r="41" spans="1:11" s="14" customFormat="1" ht="28.15" thickBot="1" x14ac:dyDescent="0.3">
      <c r="A41" s="115" t="s">
        <v>189</v>
      </c>
      <c r="B41" s="115"/>
      <c r="C41" s="115"/>
      <c r="D41" s="110">
        <f>SUM(D$34, D$39)</f>
        <v>25740000000</v>
      </c>
      <c r="E41" s="110">
        <f>SUM(E$34, E$39)</f>
        <v>32986000000</v>
      </c>
      <c r="F41" s="110">
        <f>SUM(F$34, F$39)</f>
        <v>41573000000</v>
      </c>
      <c r="G41" s="110">
        <f>E41-D41</f>
        <v>7246000000</v>
      </c>
      <c r="H41" s="110">
        <f>F41-E41</f>
        <v>8587000000</v>
      </c>
    </row>
    <row r="42" spans="1:11" s="14" customFormat="1" ht="4.9000000000000004" customHeight="1" thickTop="1" x14ac:dyDescent="0.25"/>
    <row r="43" spans="1:11" s="14" customFormat="1" ht="13.9" x14ac:dyDescent="0.25">
      <c r="A43" s="14" t="s">
        <v>38</v>
      </c>
      <c r="D43" s="103" t="str">
        <f>IF(ABS(D$20-D$41)&gt;1000000, "Error", "OK")</f>
        <v>OK</v>
      </c>
      <c r="E43" s="103" t="str">
        <f>IF(ABS(E$20-E$41)&gt;1000000, "Error", "OK")</f>
        <v>OK</v>
      </c>
      <c r="F43" s="103" t="str">
        <f>IF(ABS(F$20-F$41)&gt;1000000, "Error", "OK")</f>
        <v>OK</v>
      </c>
    </row>
    <row r="44" spans="1:11" s="14" customFormat="1" ht="13.9" x14ac:dyDescent="0.25">
      <c r="A44" s="116"/>
      <c r="B44" s="116"/>
      <c r="C44" s="116"/>
      <c r="D44" s="67"/>
      <c r="E44" s="67"/>
      <c r="F44" s="67"/>
      <c r="G44" s="67"/>
    </row>
    <row r="45" spans="1:11" s="14" customFormat="1" ht="13.9" x14ac:dyDescent="0.25"/>
    <row r="46" spans="1:11" s="14" customFormat="1" x14ac:dyDescent="0.25"/>
    <row r="47" spans="1:11" s="14" customFormat="1" x14ac:dyDescent="0.25"/>
    <row r="48" spans="1:11" s="14" customFormat="1" x14ac:dyDescent="0.25"/>
    <row r="49" s="14" customFormat="1" x14ac:dyDescent="0.25"/>
    <row r="50" s="14" customFormat="1" x14ac:dyDescent="0.25"/>
    <row r="51" s="14" customFormat="1" x14ac:dyDescent="0.25"/>
    <row r="52" s="14" customFormat="1" x14ac:dyDescent="0.25"/>
    <row r="53" s="14" customFormat="1" x14ac:dyDescent="0.25"/>
    <row r="54" s="14" customFormat="1" x14ac:dyDescent="0.25"/>
    <row r="55" s="14" customFormat="1" x14ac:dyDescent="0.25"/>
    <row r="56" s="14" customFormat="1" x14ac:dyDescent="0.25"/>
    <row r="57" s="14" customFormat="1" x14ac:dyDescent="0.25"/>
    <row r="58" s="14" customFormat="1" x14ac:dyDescent="0.25"/>
    <row r="59" s="14" customFormat="1" x14ac:dyDescent="0.25"/>
    <row r="60" s="14" customFormat="1" x14ac:dyDescent="0.25"/>
    <row r="61" s="14" customFormat="1" x14ac:dyDescent="0.25"/>
    <row r="62" s="14" customFormat="1" x14ac:dyDescent="0.25"/>
    <row r="66" spans="7:10" x14ac:dyDescent="0.25">
      <c r="G66" s="14"/>
      <c r="H66" s="14"/>
      <c r="I66" s="14"/>
      <c r="J66" s="14"/>
    </row>
    <row r="67" spans="7:10" x14ac:dyDescent="0.25">
      <c r="G67" s="14"/>
      <c r="H67" s="14"/>
      <c r="I67" s="14"/>
      <c r="J67" s="14"/>
    </row>
    <row r="68" spans="7:10" x14ac:dyDescent="0.25">
      <c r="G68" s="14"/>
      <c r="H68" s="14"/>
      <c r="I68" s="14"/>
      <c r="J68" s="14"/>
    </row>
    <row r="69" spans="7:10" x14ac:dyDescent="0.25">
      <c r="G69" s="14"/>
      <c r="H69" s="14"/>
      <c r="I69" s="14"/>
      <c r="J69" s="14"/>
    </row>
    <row r="70" spans="7:10" x14ac:dyDescent="0.25">
      <c r="G70" s="14"/>
    </row>
    <row r="71" spans="7:10" x14ac:dyDescent="0.25">
      <c r="G71" s="14"/>
      <c r="H71" s="14"/>
      <c r="I71" s="67"/>
      <c r="J71" s="67"/>
    </row>
    <row r="72" spans="7:10" x14ac:dyDescent="0.25">
      <c r="G72" s="14"/>
      <c r="H72" s="14"/>
      <c r="I72" s="14"/>
      <c r="J72" s="14"/>
    </row>
    <row r="73" spans="7:10" x14ac:dyDescent="0.25">
      <c r="G73" s="14"/>
      <c r="H73" s="14"/>
      <c r="I73" s="14"/>
      <c r="J73" s="14"/>
    </row>
    <row r="74" spans="7:10" x14ac:dyDescent="0.25">
      <c r="G74" s="14"/>
      <c r="H74" s="14"/>
      <c r="I74" s="14"/>
      <c r="J74" s="14"/>
    </row>
    <row r="75" spans="7:10" x14ac:dyDescent="0.25">
      <c r="G75" s="14"/>
      <c r="H75" s="14"/>
      <c r="I75" s="14"/>
      <c r="J75" s="14"/>
    </row>
    <row r="76" spans="7:10" x14ac:dyDescent="0.25">
      <c r="G76" s="14"/>
      <c r="H76" s="14"/>
      <c r="I76" s="14"/>
      <c r="J76" s="14"/>
    </row>
    <row r="77" spans="7:10" x14ac:dyDescent="0.25">
      <c r="G77" s="14"/>
      <c r="H77" s="14"/>
      <c r="I77" s="14"/>
      <c r="J77" s="14"/>
    </row>
    <row r="78" spans="7:10" x14ac:dyDescent="0.25">
      <c r="G78" s="14"/>
      <c r="H78" s="14"/>
      <c r="I78" s="14"/>
      <c r="J78" s="14"/>
    </row>
    <row r="79" spans="7:10" x14ac:dyDescent="0.25">
      <c r="G79" s="14"/>
      <c r="H79" s="14"/>
      <c r="I79" s="14"/>
      <c r="J79" s="14"/>
    </row>
    <row r="80" spans="7:10" x14ac:dyDescent="0.25">
      <c r="G80" s="14"/>
      <c r="H80" s="87"/>
      <c r="I80" s="14"/>
      <c r="J80" s="14"/>
    </row>
    <row r="81" spans="1:10" x14ac:dyDescent="0.25">
      <c r="G81" s="14"/>
      <c r="H81" s="14"/>
      <c r="I81" s="14"/>
      <c r="J81" s="14"/>
    </row>
    <row r="82" spans="1:10" x14ac:dyDescent="0.25">
      <c r="G82" s="14"/>
      <c r="H82" s="14"/>
      <c r="I82" s="14"/>
      <c r="J82" s="14"/>
    </row>
    <row r="83" spans="1:10" x14ac:dyDescent="0.25">
      <c r="G83" s="14"/>
      <c r="H83" s="14"/>
      <c r="I83" s="14"/>
      <c r="J83" s="14"/>
    </row>
    <row r="84" spans="1:10" x14ac:dyDescent="0.25">
      <c r="G84" s="14"/>
      <c r="H84" s="14"/>
      <c r="I84" s="14"/>
      <c r="J84" s="14"/>
    </row>
    <row r="85" spans="1:10" x14ac:dyDescent="0.25">
      <c r="G85" s="14"/>
      <c r="H85" s="14"/>
      <c r="I85" s="14"/>
      <c r="J85" s="14"/>
    </row>
    <row r="86" spans="1:10" x14ac:dyDescent="0.25">
      <c r="G86" s="14"/>
      <c r="H86" s="14"/>
      <c r="I86" s="14"/>
      <c r="J86" s="14"/>
    </row>
    <row r="87" spans="1:10" x14ac:dyDescent="0.25">
      <c r="G87" s="14"/>
      <c r="J87" s="14"/>
    </row>
    <row r="88" spans="1:10" x14ac:dyDescent="0.25">
      <c r="G88" s="14"/>
      <c r="J88" s="14"/>
    </row>
    <row r="89" spans="1:10" x14ac:dyDescent="0.25">
      <c r="G89" s="14"/>
      <c r="H89" s="14"/>
      <c r="I89" s="14"/>
      <c r="J89" s="14"/>
    </row>
    <row r="90" spans="1:10" x14ac:dyDescent="0.25">
      <c r="G90" s="14"/>
      <c r="H90" s="14"/>
      <c r="I90" s="14"/>
      <c r="J90" s="14"/>
    </row>
    <row r="91" spans="1:10" x14ac:dyDescent="0.25">
      <c r="G91" s="14"/>
      <c r="H91" s="14"/>
      <c r="I91" s="14"/>
      <c r="J91" s="14"/>
    </row>
    <row r="92" spans="1:10" x14ac:dyDescent="0.25">
      <c r="G92" s="14"/>
      <c r="H92" s="14"/>
      <c r="I92" s="14"/>
      <c r="J92" s="14"/>
    </row>
    <row r="93" spans="1:10" x14ac:dyDescent="0.25">
      <c r="G93" s="14"/>
      <c r="H93" s="14"/>
      <c r="I93" s="14"/>
      <c r="J93" s="14"/>
    </row>
    <row r="94" spans="1:10" x14ac:dyDescent="0.25">
      <c r="G94" s="14"/>
      <c r="H94" s="14"/>
      <c r="I94" s="14"/>
      <c r="J94" s="14"/>
    </row>
    <row r="95" spans="1:10" x14ac:dyDescent="0.25">
      <c r="A95" s="14"/>
      <c r="B95" s="14"/>
      <c r="C95" s="14"/>
      <c r="D95" s="87"/>
      <c r="E95" s="87"/>
      <c r="F95" s="87"/>
      <c r="G95" s="14"/>
      <c r="H95" s="14"/>
      <c r="I95" s="14"/>
      <c r="J95" s="14"/>
    </row>
    <row r="96" spans="1:10" x14ac:dyDescent="0.25">
      <c r="A96" s="14"/>
      <c r="B96" s="14"/>
      <c r="C96" s="14"/>
      <c r="D96" s="87"/>
      <c r="E96" s="87"/>
      <c r="F96" s="87"/>
      <c r="G96" s="14"/>
      <c r="H96" s="14"/>
      <c r="I96" s="14"/>
      <c r="J96" s="14"/>
    </row>
    <row r="97" spans="1:10" x14ac:dyDescent="0.25">
      <c r="A97" s="14"/>
      <c r="B97" s="14"/>
      <c r="C97" s="14"/>
      <c r="D97" s="14"/>
      <c r="E97" s="14"/>
      <c r="F97" s="14"/>
      <c r="G97" s="14"/>
      <c r="H97" s="14"/>
      <c r="I97" s="14"/>
      <c r="J97" s="14"/>
    </row>
    <row r="98" spans="1:10" x14ac:dyDescent="0.25">
      <c r="A98" s="14"/>
      <c r="B98" s="14"/>
      <c r="C98" s="14"/>
      <c r="D98" s="14"/>
      <c r="E98" s="14"/>
      <c r="F98" s="14"/>
      <c r="G98" s="14"/>
      <c r="H98" s="14"/>
      <c r="I98" s="14"/>
      <c r="J98" s="14"/>
    </row>
    <row r="99" spans="1:10" x14ac:dyDescent="0.25">
      <c r="A99" s="14"/>
      <c r="B99" s="14"/>
      <c r="C99" s="14"/>
      <c r="D99" s="14"/>
      <c r="E99" s="14"/>
      <c r="F99" s="14"/>
      <c r="G99" s="14"/>
      <c r="H99" s="14"/>
      <c r="I99" s="14"/>
      <c r="J99" s="14"/>
    </row>
    <row r="100" spans="1:10" x14ac:dyDescent="0.25">
      <c r="A100" s="14"/>
      <c r="B100" s="14"/>
      <c r="C100" s="14"/>
      <c r="D100" s="14"/>
      <c r="E100" s="14"/>
      <c r="F100" s="14"/>
      <c r="G100" s="14"/>
      <c r="H100" s="14"/>
      <c r="I100" s="14"/>
      <c r="J100" s="14"/>
    </row>
    <row r="101" spans="1:10" x14ac:dyDescent="0.25">
      <c r="A101" s="14"/>
      <c r="B101" s="14"/>
      <c r="C101" s="14"/>
      <c r="D101" s="14"/>
      <c r="E101" s="14"/>
      <c r="F101" s="14"/>
      <c r="G101" s="14"/>
      <c r="H101" s="14"/>
      <c r="I101" s="14"/>
      <c r="J101" s="14"/>
    </row>
    <row r="102" spans="1:10" x14ac:dyDescent="0.25">
      <c r="A102" s="14"/>
      <c r="B102" s="14"/>
      <c r="C102" s="14"/>
      <c r="D102" s="14"/>
      <c r="E102" s="14"/>
      <c r="F102" s="14"/>
      <c r="G102" s="14"/>
      <c r="H102" s="14"/>
      <c r="I102" s="14"/>
      <c r="J102" s="14"/>
    </row>
  </sheetData>
  <mergeCells count="7">
    <mergeCell ref="G6:H6"/>
    <mergeCell ref="A1:H1"/>
    <mergeCell ref="A22:F22"/>
    <mergeCell ref="D6:F6"/>
    <mergeCell ref="A8:F8"/>
    <mergeCell ref="A2:F2"/>
    <mergeCell ref="A3:F3"/>
  </mergeCells>
  <conditionalFormatting sqref="D43 F43:G43">
    <cfRule type="containsText" dxfId="23" priority="5" operator="containsText" text="Error">
      <formula>NOT(ISERROR(SEARCH("Error",D43)))</formula>
    </cfRule>
    <cfRule type="containsText" dxfId="22" priority="6" operator="containsText" text="OK">
      <formula>NOT(ISERROR(SEARCH("OK",D43)))</formula>
    </cfRule>
  </conditionalFormatting>
  <conditionalFormatting sqref="E43">
    <cfRule type="containsText" dxfId="21" priority="3" operator="containsText" text="Error">
      <formula>NOT(ISERROR(SEARCH("Error",E43)))</formula>
    </cfRule>
    <cfRule type="containsText" dxfId="20" priority="4" operator="containsText" text="OK">
      <formula>NOT(ISERROR(SEARCH("OK",E43)))</formula>
    </cfRule>
  </conditionalFormatting>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105"/>
  <sheetViews>
    <sheetView showGridLines="0" workbookViewId="0">
      <selection activeCell="K46" sqref="K46"/>
    </sheetView>
  </sheetViews>
  <sheetFormatPr defaultColWidth="9.140625" defaultRowHeight="15" x14ac:dyDescent="0.25"/>
  <cols>
    <col min="1" max="1" width="42.85546875" style="1" customWidth="1"/>
    <col min="2" max="3" width="42" style="1" hidden="1" customWidth="1"/>
    <col min="4" max="4" width="0.28515625" style="1" customWidth="1"/>
    <col min="5" max="6" width="10.42578125" style="1" customWidth="1"/>
    <col min="7" max="7" width="1.140625" style="1" customWidth="1"/>
    <col min="8" max="8" width="16.140625" style="1" bestFit="1" customWidth="1"/>
    <col min="9" max="16384" width="9.140625" style="1"/>
  </cols>
  <sheetData>
    <row r="1" spans="1:26" ht="25.9" customHeight="1" x14ac:dyDescent="0.25">
      <c r="A1" s="330" t="s">
        <v>91</v>
      </c>
      <c r="B1" s="330"/>
      <c r="C1" s="330"/>
      <c r="D1" s="330"/>
      <c r="E1" s="330"/>
      <c r="F1" s="330"/>
      <c r="G1" s="120"/>
      <c r="H1" s="120"/>
    </row>
    <row r="2" spans="1:26" ht="19.899999999999999" customHeight="1" x14ac:dyDescent="0.4">
      <c r="A2" s="329" t="s">
        <v>88</v>
      </c>
      <c r="B2" s="329"/>
      <c r="C2" s="329"/>
      <c r="D2" s="329"/>
      <c r="E2" s="329"/>
      <c r="F2" s="329"/>
      <c r="G2" s="171"/>
      <c r="H2" s="120"/>
    </row>
    <row r="3" spans="1:26" s="119" customFormat="1" ht="15" customHeight="1" x14ac:dyDescent="0.25">
      <c r="A3" s="327" t="s">
        <v>92</v>
      </c>
      <c r="B3" s="327"/>
      <c r="C3" s="327"/>
      <c r="D3" s="327"/>
      <c r="E3" s="327"/>
      <c r="F3" s="327"/>
      <c r="G3" s="154"/>
      <c r="H3" s="154"/>
      <c r="I3" s="131"/>
      <c r="J3" s="131"/>
      <c r="K3" s="131"/>
      <c r="L3" s="131"/>
      <c r="M3" s="131"/>
      <c r="N3" s="131"/>
      <c r="O3" s="131"/>
      <c r="P3" s="131"/>
      <c r="Q3" s="131"/>
      <c r="R3" s="131"/>
      <c r="S3" s="131"/>
      <c r="T3" s="131"/>
      <c r="U3" s="131"/>
      <c r="V3" s="131"/>
      <c r="W3" s="131"/>
      <c r="X3" s="131"/>
      <c r="Y3" s="131"/>
      <c r="Z3" s="131"/>
    </row>
    <row r="4" spans="1:26" s="119" customFormat="1" ht="15" customHeight="1" x14ac:dyDescent="0.25">
      <c r="A4" s="328" t="s">
        <v>208</v>
      </c>
      <c r="B4" s="328"/>
      <c r="C4" s="328"/>
      <c r="D4" s="328"/>
      <c r="E4" s="328"/>
      <c r="F4" s="328"/>
      <c r="G4" s="155"/>
      <c r="H4" s="155"/>
      <c r="I4" s="131"/>
      <c r="J4" s="131"/>
      <c r="K4" s="131"/>
      <c r="L4" s="131"/>
      <c r="M4" s="131"/>
      <c r="N4" s="131"/>
      <c r="O4" s="131"/>
      <c r="P4" s="131"/>
      <c r="Q4" s="131"/>
      <c r="R4" s="131"/>
      <c r="S4" s="131"/>
      <c r="T4" s="131"/>
      <c r="U4" s="131"/>
      <c r="V4" s="131"/>
      <c r="W4" s="131"/>
      <c r="X4" s="131"/>
      <c r="Y4" s="131"/>
      <c r="Z4" s="131"/>
    </row>
    <row r="5" spans="1:26" s="119" customFormat="1" ht="11.45" customHeight="1" x14ac:dyDescent="0.25">
      <c r="A5" s="249" t="s">
        <v>235</v>
      </c>
      <c r="B5" s="249"/>
      <c r="C5" s="249"/>
      <c r="D5" s="249"/>
      <c r="E5" s="249"/>
      <c r="F5" s="249"/>
      <c r="G5" s="156"/>
      <c r="H5" s="143"/>
      <c r="I5" s="131"/>
      <c r="J5" s="131"/>
      <c r="K5" s="131"/>
      <c r="L5" s="131"/>
      <c r="M5" s="131"/>
      <c r="N5" s="131"/>
      <c r="O5" s="131"/>
      <c r="P5" s="131"/>
      <c r="Q5" s="131"/>
      <c r="R5" s="131"/>
      <c r="S5" s="131"/>
      <c r="T5" s="131"/>
      <c r="U5" s="131"/>
      <c r="V5" s="131"/>
      <c r="W5" s="131"/>
      <c r="X5" s="131"/>
      <c r="Y5" s="131"/>
      <c r="Z5" s="131"/>
    </row>
    <row r="6" spans="1:26" s="119" customFormat="1" ht="1.1499999999999999" hidden="1" customHeight="1" x14ac:dyDescent="0.25">
      <c r="A6" s="143"/>
      <c r="B6" s="143"/>
      <c r="C6" s="143"/>
      <c r="G6" s="156"/>
      <c r="H6" s="143"/>
      <c r="I6" s="131"/>
      <c r="J6" s="131"/>
      <c r="K6" s="131"/>
      <c r="L6" s="131"/>
      <c r="M6" s="131"/>
      <c r="N6" s="131"/>
      <c r="O6" s="131"/>
      <c r="P6" s="131"/>
      <c r="Q6" s="131"/>
      <c r="R6" s="131"/>
      <c r="S6" s="131"/>
      <c r="T6" s="131"/>
      <c r="U6" s="131"/>
      <c r="V6" s="131"/>
      <c r="W6" s="131"/>
      <c r="X6" s="131"/>
      <c r="Y6" s="131"/>
      <c r="Z6" s="131"/>
    </row>
    <row r="7" spans="1:26" s="119" customFormat="1" ht="12.6" customHeight="1" thickBot="1" x14ac:dyDescent="0.3">
      <c r="A7" s="143"/>
      <c r="B7" s="143"/>
      <c r="C7" s="143"/>
      <c r="D7" s="143"/>
      <c r="E7" s="157">
        <f>'Financial Statement Inputs'!E16</f>
        <v>2012</v>
      </c>
      <c r="F7" s="157">
        <f>'Financial Statement Inputs'!$F$16</f>
        <v>2013</v>
      </c>
      <c r="G7" s="156"/>
      <c r="H7" s="143"/>
      <c r="I7" s="131"/>
      <c r="J7" s="131"/>
      <c r="K7" s="131"/>
      <c r="L7" s="131"/>
      <c r="M7" s="131"/>
      <c r="N7" s="131"/>
      <c r="O7" s="131"/>
      <c r="P7" s="131"/>
      <c r="Q7" s="131"/>
      <c r="R7" s="131"/>
      <c r="S7" s="131"/>
      <c r="T7" s="131"/>
      <c r="U7" s="131"/>
      <c r="V7" s="131"/>
      <c r="W7" s="131"/>
      <c r="X7" s="131"/>
      <c r="Y7" s="131"/>
      <c r="Z7" s="131"/>
    </row>
    <row r="8" spans="1:26" s="119" customFormat="1" ht="13.9" x14ac:dyDescent="0.25">
      <c r="A8" s="158" t="s">
        <v>93</v>
      </c>
      <c r="B8" s="158"/>
      <c r="C8" s="158"/>
      <c r="D8" s="158"/>
      <c r="E8" s="131"/>
      <c r="F8" s="131"/>
      <c r="G8" s="159"/>
      <c r="H8" s="156" t="s">
        <v>56</v>
      </c>
      <c r="I8" s="131"/>
      <c r="J8" s="131"/>
      <c r="K8" s="131"/>
      <c r="L8" s="131"/>
      <c r="M8" s="131"/>
      <c r="N8" s="131"/>
      <c r="O8" s="131"/>
      <c r="P8" s="131"/>
      <c r="Q8" s="131"/>
      <c r="R8" s="131"/>
      <c r="S8" s="131"/>
      <c r="T8" s="131"/>
      <c r="U8" s="131"/>
      <c r="V8" s="131"/>
      <c r="W8" s="131"/>
      <c r="X8" s="131"/>
      <c r="Y8" s="131"/>
      <c r="Z8" s="131"/>
    </row>
    <row r="9" spans="1:26" s="119" customFormat="1" ht="13.9" x14ac:dyDescent="0.25">
      <c r="A9" s="143" t="s">
        <v>9</v>
      </c>
      <c r="B9" s="143"/>
      <c r="C9" s="143"/>
      <c r="D9" s="143"/>
      <c r="E9" s="136">
        <f>IncomeStatements!E18</f>
        <v>1340000000</v>
      </c>
      <c r="F9" s="136">
        <f>IncomeStatements!F18</f>
        <v>2910000000</v>
      </c>
      <c r="G9" s="136"/>
      <c r="H9" s="143" t="s">
        <v>57</v>
      </c>
      <c r="I9" s="131"/>
      <c r="J9" s="131"/>
      <c r="K9" s="131"/>
      <c r="L9" s="131"/>
      <c r="M9" s="131"/>
      <c r="N9" s="131"/>
      <c r="O9" s="131"/>
      <c r="P9" s="131"/>
      <c r="Q9" s="131"/>
      <c r="R9" s="131"/>
      <c r="S9" s="131"/>
      <c r="T9" s="131"/>
      <c r="U9" s="131"/>
      <c r="V9" s="131"/>
      <c r="W9" s="131"/>
      <c r="X9" s="131"/>
      <c r="Y9" s="131"/>
      <c r="Z9" s="131"/>
    </row>
    <row r="10" spans="1:26" s="119" customFormat="1" ht="28.9" x14ac:dyDescent="0.25">
      <c r="A10" s="160" t="s">
        <v>40</v>
      </c>
      <c r="B10" s="160"/>
      <c r="C10" s="160"/>
      <c r="D10" s="160"/>
      <c r="E10" s="143"/>
      <c r="F10" s="143"/>
      <c r="G10" s="143"/>
      <c r="H10" s="143"/>
      <c r="I10" s="131"/>
      <c r="J10" s="131"/>
      <c r="K10" s="131"/>
      <c r="L10" s="131"/>
      <c r="M10" s="131"/>
      <c r="N10" s="131"/>
      <c r="O10" s="131"/>
      <c r="P10" s="131"/>
      <c r="Q10" s="131"/>
      <c r="R10" s="131"/>
      <c r="S10" s="131"/>
      <c r="T10" s="131"/>
      <c r="U10" s="131"/>
      <c r="V10" s="131"/>
      <c r="W10" s="131"/>
      <c r="X10" s="131"/>
      <c r="Y10" s="131"/>
      <c r="Z10" s="131"/>
    </row>
    <row r="11" spans="1:26" s="119" customFormat="1" ht="10.9" customHeight="1" x14ac:dyDescent="0.25">
      <c r="A11" s="143" t="s">
        <v>41</v>
      </c>
      <c r="B11" s="143"/>
      <c r="C11" s="143"/>
      <c r="D11" s="143"/>
      <c r="E11" s="143"/>
      <c r="F11" s="143"/>
      <c r="G11" s="143"/>
      <c r="H11" s="143"/>
      <c r="I11" s="131"/>
      <c r="J11" s="131"/>
      <c r="K11" s="131"/>
      <c r="L11" s="131"/>
      <c r="M11" s="131"/>
      <c r="N11" s="131"/>
      <c r="O11" s="131"/>
      <c r="P11" s="131"/>
      <c r="Q11" s="131"/>
      <c r="R11" s="131"/>
      <c r="S11" s="131"/>
      <c r="T11" s="131"/>
      <c r="U11" s="131"/>
      <c r="V11" s="131"/>
      <c r="W11" s="131"/>
      <c r="X11" s="131"/>
      <c r="Y11" s="131"/>
      <c r="Z11" s="131"/>
    </row>
    <row r="12" spans="1:26" s="119" customFormat="1" ht="13.9" x14ac:dyDescent="0.25">
      <c r="A12" s="143" t="s">
        <v>43</v>
      </c>
      <c r="B12" s="143"/>
      <c r="C12" s="143"/>
      <c r="D12" s="143"/>
      <c r="E12" s="136">
        <f>IncomeStatements!E13</f>
        <v>1207000000</v>
      </c>
      <c r="F12" s="136">
        <f>IncomeStatements!F13</f>
        <v>1510000000</v>
      </c>
      <c r="G12" s="136"/>
      <c r="H12" s="143" t="s">
        <v>57</v>
      </c>
      <c r="I12" s="131"/>
      <c r="J12" s="131"/>
      <c r="K12" s="131"/>
      <c r="L12" s="131"/>
      <c r="M12" s="131"/>
      <c r="N12" s="131"/>
      <c r="O12" s="131"/>
      <c r="P12" s="131"/>
      <c r="Q12" s="131"/>
      <c r="R12" s="131"/>
      <c r="S12" s="131"/>
      <c r="T12" s="131"/>
      <c r="U12" s="131"/>
      <c r="V12" s="131"/>
      <c r="W12" s="131"/>
      <c r="X12" s="131"/>
      <c r="Y12" s="131"/>
      <c r="Z12" s="131"/>
    </row>
    <row r="13" spans="1:26" s="119" customFormat="1" ht="14.45" x14ac:dyDescent="0.25">
      <c r="A13" s="154" t="s">
        <v>42</v>
      </c>
      <c r="B13" s="154"/>
      <c r="C13" s="154"/>
      <c r="D13" s="154"/>
      <c r="E13" s="136"/>
      <c r="F13" s="136"/>
      <c r="G13" s="136"/>
      <c r="H13" s="143"/>
      <c r="I13" s="131"/>
      <c r="J13" s="131"/>
      <c r="K13" s="131"/>
      <c r="L13" s="131"/>
      <c r="M13" s="131"/>
      <c r="N13" s="131"/>
      <c r="O13" s="131"/>
      <c r="P13" s="131"/>
      <c r="Q13" s="131"/>
      <c r="R13" s="131"/>
      <c r="S13" s="131"/>
      <c r="T13" s="131"/>
      <c r="U13" s="131"/>
      <c r="V13" s="131"/>
      <c r="W13" s="131"/>
      <c r="X13" s="131"/>
      <c r="Y13" s="131"/>
      <c r="Z13" s="131"/>
    </row>
    <row r="14" spans="1:26" s="119" customFormat="1" x14ac:dyDescent="0.25">
      <c r="A14" s="143" t="s">
        <v>44</v>
      </c>
      <c r="B14" s="143"/>
      <c r="C14" s="143"/>
      <c r="D14" s="143"/>
      <c r="E14" s="136">
        <f>-(BalanceSheets!E10-BalanceSheets!D10)</f>
        <v>-75000000</v>
      </c>
      <c r="F14" s="136">
        <f>-(BalanceSheets!F10-BalanceSheets!E10)</f>
        <v>-999000000</v>
      </c>
      <c r="G14" s="136"/>
      <c r="H14" s="143" t="s">
        <v>121</v>
      </c>
      <c r="I14" s="131"/>
      <c r="J14" s="131"/>
      <c r="K14" s="131"/>
      <c r="L14" s="131"/>
      <c r="M14" s="131"/>
      <c r="N14" s="131"/>
      <c r="O14" s="131"/>
      <c r="P14" s="131"/>
      <c r="Q14" s="131"/>
      <c r="R14" s="131"/>
      <c r="S14" s="131"/>
      <c r="T14" s="131"/>
      <c r="U14" s="131"/>
      <c r="V14" s="131"/>
      <c r="W14" s="131"/>
      <c r="X14" s="131"/>
      <c r="Y14" s="131"/>
      <c r="Z14" s="131"/>
    </row>
    <row r="15" spans="1:26" s="119" customFormat="1" x14ac:dyDescent="0.25">
      <c r="A15" s="143" t="s">
        <v>45</v>
      </c>
      <c r="B15" s="143"/>
      <c r="C15" s="143"/>
      <c r="D15" s="143"/>
      <c r="E15" s="198">
        <f>-(BalanceSheets!E11-BalanceSheets!D11)</f>
        <v>-700000000</v>
      </c>
      <c r="F15" s="198">
        <f>-(BalanceSheets!F11-BalanceSheets!E11)</f>
        <v>-1476000000</v>
      </c>
      <c r="G15" s="136"/>
      <c r="H15" s="143" t="s">
        <v>121</v>
      </c>
      <c r="I15" s="131"/>
      <c r="J15" s="131"/>
      <c r="K15" s="131"/>
      <c r="L15" s="131"/>
      <c r="M15" s="131"/>
      <c r="N15" s="131"/>
      <c r="O15" s="131"/>
      <c r="P15" s="131"/>
      <c r="Q15" s="131"/>
      <c r="R15" s="131"/>
      <c r="S15" s="131"/>
      <c r="T15" s="131"/>
      <c r="U15" s="131"/>
      <c r="V15" s="131"/>
      <c r="W15" s="131"/>
      <c r="X15" s="131"/>
      <c r="Y15" s="131"/>
      <c r="Z15" s="131"/>
    </row>
    <row r="16" spans="1:26" s="119" customFormat="1" x14ac:dyDescent="0.25">
      <c r="A16" s="143" t="s">
        <v>77</v>
      </c>
      <c r="B16" s="143"/>
      <c r="C16" s="143"/>
      <c r="D16" s="143"/>
      <c r="E16" s="198">
        <f>-(BalanceSheets!E12-BalanceSheets!D12)</f>
        <v>-1401000000</v>
      </c>
      <c r="F16" s="198">
        <f>-(BalanceSheets!F12-BalanceSheets!E12)</f>
        <v>699000000</v>
      </c>
      <c r="G16" s="136"/>
      <c r="H16" s="143" t="s">
        <v>121</v>
      </c>
      <c r="I16" s="131"/>
      <c r="J16" s="131"/>
      <c r="K16" s="131"/>
      <c r="L16" s="131"/>
      <c r="M16" s="131"/>
      <c r="N16" s="131"/>
      <c r="O16" s="131"/>
      <c r="P16" s="131"/>
      <c r="Q16" s="131"/>
      <c r="R16" s="131"/>
      <c r="S16" s="131"/>
      <c r="T16" s="131"/>
      <c r="U16" s="131"/>
      <c r="V16" s="131"/>
      <c r="W16" s="131"/>
      <c r="X16" s="131"/>
      <c r="Y16" s="131"/>
      <c r="Z16" s="131"/>
    </row>
    <row r="17" spans="1:26" s="119" customFormat="1" x14ac:dyDescent="0.25">
      <c r="A17" s="143" t="s">
        <v>46</v>
      </c>
      <c r="B17" s="143"/>
      <c r="C17" s="143"/>
      <c r="D17" s="143"/>
      <c r="E17" s="198">
        <f>BalanceSheets!E24-BalanceSheets!D24</f>
        <v>1236000000</v>
      </c>
      <c r="F17" s="198">
        <f>BalanceSheets!F24-BalanceSheets!E24</f>
        <v>1483000000</v>
      </c>
      <c r="G17" s="136"/>
      <c r="H17" s="143" t="s">
        <v>122</v>
      </c>
      <c r="I17" s="131"/>
      <c r="J17" s="131"/>
      <c r="K17" s="131"/>
      <c r="L17" s="131"/>
      <c r="M17" s="131"/>
      <c r="N17" s="131"/>
      <c r="O17" s="131"/>
      <c r="P17" s="131"/>
      <c r="Q17" s="131"/>
      <c r="R17" s="131"/>
      <c r="S17" s="131"/>
      <c r="T17" s="131"/>
      <c r="U17" s="131"/>
      <c r="V17" s="131"/>
      <c r="W17" s="131"/>
      <c r="X17" s="131"/>
      <c r="Y17" s="131"/>
      <c r="Z17" s="131"/>
    </row>
    <row r="18" spans="1:26" s="119" customFormat="1" ht="30" x14ac:dyDescent="0.25">
      <c r="A18" s="161" t="s">
        <v>47</v>
      </c>
      <c r="B18" s="161"/>
      <c r="C18" s="161"/>
      <c r="D18" s="161"/>
      <c r="E18" s="198">
        <f>BalanceSheets!E26-BalanceSheets!D26</f>
        <v>26000000</v>
      </c>
      <c r="F18" s="198">
        <f>BalanceSheets!F26-BalanceSheets!E26</f>
        <v>543000000</v>
      </c>
      <c r="G18" s="136"/>
      <c r="H18" s="143" t="s">
        <v>122</v>
      </c>
      <c r="I18" s="131"/>
      <c r="J18" s="131"/>
      <c r="K18" s="131"/>
      <c r="L18" s="131"/>
      <c r="M18" s="131"/>
      <c r="N18" s="131"/>
      <c r="O18" s="131"/>
      <c r="P18" s="131"/>
      <c r="Q18" s="131"/>
      <c r="R18" s="131"/>
      <c r="S18" s="131"/>
      <c r="T18" s="131"/>
      <c r="U18" s="131"/>
      <c r="V18" s="131"/>
      <c r="W18" s="131"/>
      <c r="X18" s="131"/>
      <c r="Y18" s="131"/>
      <c r="Z18" s="131"/>
    </row>
    <row r="19" spans="1:26" s="119" customFormat="1" ht="25.9" customHeight="1" x14ac:dyDescent="0.25">
      <c r="A19" s="161" t="s">
        <v>58</v>
      </c>
      <c r="B19" s="161"/>
      <c r="C19" s="161"/>
      <c r="D19" s="161"/>
      <c r="E19" s="199">
        <f>BalanceSheets!E27-BalanceSheets!D27</f>
        <v>1040000000</v>
      </c>
      <c r="F19" s="199">
        <f>BalanceSheets!F27-BalanceSheets!E27</f>
        <v>-963000000</v>
      </c>
      <c r="G19" s="136"/>
      <c r="H19" s="143" t="s">
        <v>122</v>
      </c>
      <c r="I19" s="131"/>
      <c r="J19" s="131"/>
      <c r="K19" s="131"/>
      <c r="L19" s="131"/>
      <c r="M19" s="131"/>
      <c r="N19" s="131"/>
      <c r="O19" s="131"/>
      <c r="P19" s="131"/>
      <c r="Q19" s="131"/>
      <c r="R19" s="131"/>
      <c r="S19" s="131"/>
      <c r="T19" s="131"/>
      <c r="U19" s="131"/>
      <c r="V19" s="131"/>
      <c r="W19" s="131"/>
      <c r="X19" s="131"/>
      <c r="Y19" s="131"/>
      <c r="Z19" s="131"/>
    </row>
    <row r="20" spans="1:26" s="119" customFormat="1" ht="13.9" x14ac:dyDescent="0.25">
      <c r="A20" s="162" t="s">
        <v>97</v>
      </c>
      <c r="B20" s="162"/>
      <c r="C20" s="162"/>
      <c r="D20" s="162"/>
      <c r="E20" s="163">
        <f>(E9+E12)+SUM(E14:E19)</f>
        <v>2673000000</v>
      </c>
      <c r="F20" s="163">
        <f>(F9+F12)+SUM(F14:F19)</f>
        <v>3707000000</v>
      </c>
      <c r="G20" s="163"/>
      <c r="H20" s="143"/>
      <c r="I20" s="131"/>
      <c r="J20" s="131"/>
      <c r="K20" s="131"/>
      <c r="L20" s="131"/>
      <c r="M20" s="131"/>
      <c r="N20" s="131"/>
      <c r="O20" s="131"/>
      <c r="P20" s="131"/>
      <c r="Q20" s="131"/>
      <c r="R20" s="131"/>
      <c r="S20" s="131"/>
      <c r="T20" s="131"/>
      <c r="U20" s="131"/>
      <c r="V20" s="131"/>
      <c r="W20" s="131"/>
      <c r="X20" s="131"/>
      <c r="Y20" s="131"/>
      <c r="Z20" s="131"/>
    </row>
    <row r="21" spans="1:26" s="119" customFormat="1" ht="1.1499999999999999" customHeight="1" x14ac:dyDescent="0.25">
      <c r="A21" s="161"/>
      <c r="B21" s="161"/>
      <c r="C21" s="161"/>
      <c r="D21" s="161"/>
      <c r="E21" s="136"/>
      <c r="F21" s="136"/>
      <c r="G21" s="136"/>
      <c r="H21" s="143"/>
      <c r="I21" s="131"/>
      <c r="J21" s="131"/>
      <c r="K21" s="131"/>
      <c r="L21" s="131"/>
      <c r="M21" s="131"/>
      <c r="N21" s="131"/>
      <c r="O21" s="131"/>
      <c r="P21" s="131"/>
      <c r="Q21" s="131"/>
      <c r="R21" s="131"/>
      <c r="S21" s="131"/>
      <c r="T21" s="131"/>
      <c r="U21" s="131"/>
      <c r="V21" s="131"/>
      <c r="W21" s="131"/>
      <c r="X21" s="131"/>
      <c r="Y21" s="131"/>
      <c r="Z21" s="131"/>
    </row>
    <row r="22" spans="1:26" s="119" customFormat="1" ht="13.9" x14ac:dyDescent="0.25">
      <c r="A22" s="158" t="s">
        <v>95</v>
      </c>
      <c r="B22" s="158"/>
      <c r="C22" s="158"/>
      <c r="D22" s="158"/>
      <c r="E22" s="136"/>
      <c r="F22" s="136"/>
      <c r="G22" s="136"/>
      <c r="H22" s="143"/>
      <c r="I22" s="131"/>
      <c r="J22" s="131"/>
      <c r="K22" s="131"/>
      <c r="L22" s="131"/>
      <c r="M22" s="131"/>
      <c r="N22" s="131"/>
      <c r="O22" s="131"/>
      <c r="P22" s="131"/>
      <c r="Q22" s="131"/>
      <c r="R22" s="131"/>
      <c r="S22" s="131"/>
      <c r="T22" s="131"/>
      <c r="U22" s="131"/>
      <c r="V22" s="131"/>
      <c r="W22" s="131"/>
      <c r="X22" s="131"/>
      <c r="Y22" s="131"/>
      <c r="Z22" s="131"/>
    </row>
    <row r="23" spans="1:26" s="119" customFormat="1" ht="12" customHeight="1" x14ac:dyDescent="0.25">
      <c r="A23" s="164" t="s">
        <v>55</v>
      </c>
      <c r="B23" s="164"/>
      <c r="C23" s="164"/>
      <c r="D23" s="164"/>
      <c r="E23" s="136">
        <f>-(BalanceSheets!E15-BalanceSheets!D15)</f>
        <v>-3026000000</v>
      </c>
      <c r="F23" s="136">
        <f>-(BalanceSheets!F15-BalanceSheets!E15)</f>
        <v>-4858000000</v>
      </c>
      <c r="G23" s="136"/>
      <c r="H23" s="143" t="s">
        <v>245</v>
      </c>
      <c r="I23" s="131"/>
      <c r="J23" s="131"/>
      <c r="K23" s="131"/>
      <c r="L23" s="131"/>
      <c r="M23" s="131"/>
      <c r="N23" s="131"/>
      <c r="O23" s="131"/>
      <c r="P23" s="131"/>
      <c r="Q23" s="131"/>
      <c r="R23" s="131"/>
      <c r="S23" s="131"/>
      <c r="T23" s="131"/>
      <c r="U23" s="131"/>
      <c r="V23" s="131"/>
      <c r="W23" s="131"/>
      <c r="X23" s="131"/>
      <c r="Y23" s="131"/>
      <c r="Z23" s="131"/>
    </row>
    <row r="24" spans="1:26" s="119" customFormat="1" ht="14.45" x14ac:dyDescent="0.25">
      <c r="A24" s="154" t="s">
        <v>94</v>
      </c>
      <c r="B24" s="154"/>
      <c r="C24" s="154"/>
      <c r="D24" s="154"/>
      <c r="E24" s="136"/>
      <c r="F24" s="136"/>
      <c r="G24" s="136"/>
      <c r="H24" s="143"/>
      <c r="I24" s="131"/>
      <c r="J24" s="131"/>
      <c r="K24" s="131"/>
      <c r="L24" s="131"/>
      <c r="M24" s="131"/>
      <c r="N24" s="131"/>
      <c r="O24" s="131"/>
      <c r="P24" s="131"/>
      <c r="Q24" s="131"/>
      <c r="R24" s="131"/>
      <c r="S24" s="131"/>
      <c r="T24" s="131"/>
      <c r="U24" s="131"/>
      <c r="V24" s="131"/>
      <c r="W24" s="131"/>
      <c r="X24" s="131"/>
      <c r="Y24" s="131"/>
      <c r="Z24" s="131"/>
    </row>
    <row r="25" spans="1:26" s="119" customFormat="1" ht="12" customHeight="1" x14ac:dyDescent="0.25">
      <c r="A25" s="143" t="s">
        <v>78</v>
      </c>
      <c r="B25" s="143"/>
      <c r="C25" s="143"/>
      <c r="D25" s="143"/>
      <c r="E25" s="136">
        <f>-(BalanceSheets!E19-BalanceSheets!D19)</f>
        <v>-418000000</v>
      </c>
      <c r="F25" s="136">
        <f>-(BalanceSheets!F19-BalanceSheets!E19)</f>
        <v>-171000000</v>
      </c>
      <c r="G25" s="136"/>
      <c r="H25" s="143" t="s">
        <v>245</v>
      </c>
      <c r="I25" s="131"/>
      <c r="J25" s="131"/>
      <c r="K25" s="131"/>
      <c r="L25" s="131"/>
      <c r="M25" s="131"/>
      <c r="N25" s="131"/>
      <c r="O25" s="131"/>
      <c r="P25" s="131"/>
      <c r="Q25" s="131"/>
      <c r="R25" s="131"/>
      <c r="S25" s="131"/>
      <c r="T25" s="131"/>
      <c r="U25" s="131"/>
      <c r="V25" s="131"/>
      <c r="W25" s="131"/>
      <c r="X25" s="131"/>
      <c r="Y25" s="131"/>
      <c r="Z25" s="131"/>
    </row>
    <row r="26" spans="1:26" s="119" customFormat="1" ht="30" x14ac:dyDescent="0.25">
      <c r="A26" s="161" t="s">
        <v>229</v>
      </c>
      <c r="B26" s="161"/>
      <c r="C26" s="161"/>
      <c r="D26" s="161"/>
      <c r="E26" s="199">
        <f>BalanceSheets!E31-BalanceSheets!D31</f>
        <v>691000000</v>
      </c>
      <c r="F26" s="199">
        <f>BalanceSheets!F31-BalanceSheets!E31</f>
        <v>416000000</v>
      </c>
      <c r="G26" s="136"/>
      <c r="H26" s="143" t="s">
        <v>122</v>
      </c>
      <c r="I26" s="131"/>
      <c r="J26" s="131"/>
      <c r="K26" s="131"/>
      <c r="L26" s="131"/>
      <c r="M26" s="131"/>
      <c r="N26" s="131"/>
      <c r="O26" s="131"/>
      <c r="P26" s="131"/>
      <c r="Q26" s="131"/>
      <c r="R26" s="131"/>
      <c r="S26" s="131"/>
      <c r="T26" s="131"/>
      <c r="U26" s="131"/>
      <c r="V26" s="131"/>
      <c r="W26" s="131"/>
      <c r="X26" s="131"/>
      <c r="Y26" s="131"/>
      <c r="Z26" s="131"/>
    </row>
    <row r="27" spans="1:26" s="119" customFormat="1" ht="12" customHeight="1" x14ac:dyDescent="0.25">
      <c r="A27" s="162" t="s">
        <v>99</v>
      </c>
      <c r="B27" s="162"/>
      <c r="C27" s="162"/>
      <c r="D27" s="162"/>
      <c r="E27" s="163">
        <f>E23+SUM(E25:E26)</f>
        <v>-2753000000</v>
      </c>
      <c r="F27" s="163">
        <f>F23+SUM(F25:F26)</f>
        <v>-4613000000</v>
      </c>
      <c r="G27" s="163"/>
      <c r="H27" s="156"/>
      <c r="I27" s="131"/>
      <c r="J27" s="131"/>
      <c r="K27" s="131"/>
      <c r="L27" s="131"/>
      <c r="M27" s="131"/>
      <c r="N27" s="131"/>
      <c r="O27" s="131"/>
      <c r="P27" s="131"/>
      <c r="Q27" s="131"/>
      <c r="R27" s="131"/>
      <c r="S27" s="131"/>
      <c r="T27" s="131"/>
      <c r="U27" s="131"/>
      <c r="V27" s="131"/>
      <c r="W27" s="131"/>
      <c r="X27" s="131"/>
      <c r="Y27" s="131"/>
      <c r="Z27" s="131"/>
    </row>
    <row r="28" spans="1:26" s="119" customFormat="1" ht="1.1499999999999999" hidden="1" customHeight="1" x14ac:dyDescent="0.25">
      <c r="A28" s="161"/>
      <c r="B28" s="161"/>
      <c r="C28" s="161"/>
      <c r="D28" s="161"/>
      <c r="E28" s="136"/>
      <c r="F28" s="136"/>
      <c r="G28" s="136"/>
      <c r="H28" s="143"/>
      <c r="I28" s="131"/>
      <c r="J28" s="131"/>
      <c r="K28" s="131"/>
      <c r="L28" s="131"/>
      <c r="M28" s="131"/>
      <c r="N28" s="131"/>
      <c r="O28" s="131"/>
      <c r="P28" s="131"/>
      <c r="Q28" s="131"/>
      <c r="R28" s="131"/>
      <c r="S28" s="131"/>
      <c r="T28" s="131"/>
      <c r="U28" s="131"/>
      <c r="V28" s="131"/>
      <c r="W28" s="131"/>
      <c r="X28" s="131"/>
      <c r="Y28" s="131"/>
      <c r="Z28" s="131"/>
    </row>
    <row r="29" spans="1:26" s="119" customFormat="1" ht="13.9" x14ac:dyDescent="0.25">
      <c r="A29" s="158" t="s">
        <v>96</v>
      </c>
      <c r="B29" s="158"/>
      <c r="C29" s="158"/>
      <c r="D29" s="158"/>
      <c r="E29" s="136"/>
      <c r="F29" s="136"/>
      <c r="G29" s="136"/>
      <c r="H29" s="143"/>
      <c r="I29" s="131"/>
      <c r="J29" s="131"/>
      <c r="K29" s="131"/>
      <c r="L29" s="131"/>
      <c r="M29" s="131"/>
      <c r="N29" s="131"/>
      <c r="O29" s="131"/>
      <c r="P29" s="131"/>
      <c r="Q29" s="131"/>
      <c r="R29" s="131"/>
      <c r="S29" s="131"/>
      <c r="T29" s="131"/>
      <c r="U29" s="131"/>
      <c r="V29" s="131"/>
      <c r="W29" s="131"/>
      <c r="X29" s="131"/>
      <c r="Y29" s="131"/>
      <c r="Z29" s="131"/>
    </row>
    <row r="30" spans="1:26" s="119" customFormat="1" ht="30" x14ac:dyDescent="0.25">
      <c r="A30" s="165" t="s">
        <v>49</v>
      </c>
      <c r="B30" s="165"/>
      <c r="C30" s="165"/>
      <c r="D30" s="165"/>
      <c r="E30" s="136">
        <f>(BalanceSheets!E25-BalanceSheets!D25)+(BalanceSheets!E32-BalanceSheets!D32)</f>
        <v>3163000000</v>
      </c>
      <c r="F30" s="136">
        <f>(BalanceSheets!F25-BalanceSheets!E25)+(BalanceSheets!F32-BalanceSheets!E32)</f>
        <v>4448000000</v>
      </c>
      <c r="G30" s="136"/>
      <c r="H30" s="143" t="s">
        <v>122</v>
      </c>
      <c r="I30" s="131"/>
      <c r="J30" s="131"/>
      <c r="K30" s="131"/>
      <c r="L30" s="131"/>
      <c r="M30" s="131"/>
      <c r="N30" s="131"/>
      <c r="O30" s="131"/>
      <c r="P30" s="131"/>
      <c r="Q30" s="131"/>
      <c r="R30" s="131"/>
      <c r="S30" s="131"/>
      <c r="T30" s="131"/>
      <c r="U30" s="131"/>
      <c r="V30" s="131"/>
      <c r="W30" s="131"/>
      <c r="X30" s="131"/>
      <c r="Y30" s="131"/>
      <c r="Z30" s="131"/>
    </row>
    <row r="31" spans="1:26" s="119" customFormat="1" ht="13.9" x14ac:dyDescent="0.25">
      <c r="A31" s="166" t="s">
        <v>54</v>
      </c>
      <c r="B31" s="166"/>
      <c r="C31" s="166"/>
      <c r="D31" s="166"/>
      <c r="E31" s="199">
        <f>'Financial Statement Inputs'!E68</f>
        <v>-250000000</v>
      </c>
      <c r="F31" s="199">
        <f>'Financial Statement Inputs'!F68</f>
        <v>-250000000</v>
      </c>
      <c r="G31" s="136"/>
      <c r="H31" s="143" t="s">
        <v>239</v>
      </c>
      <c r="I31" s="131"/>
      <c r="J31" s="131"/>
      <c r="K31" s="131"/>
      <c r="L31" s="131"/>
      <c r="M31" s="131"/>
      <c r="N31" s="131"/>
      <c r="O31" s="131"/>
      <c r="P31" s="131"/>
      <c r="Q31" s="131"/>
      <c r="R31" s="131"/>
      <c r="S31" s="131"/>
      <c r="T31" s="131"/>
      <c r="U31" s="131"/>
      <c r="V31" s="131"/>
      <c r="W31" s="131"/>
      <c r="X31" s="131"/>
      <c r="Y31" s="131"/>
      <c r="Z31" s="131"/>
    </row>
    <row r="32" spans="1:26" s="119" customFormat="1" ht="13.15" customHeight="1" x14ac:dyDescent="0.25">
      <c r="A32" s="167" t="s">
        <v>98</v>
      </c>
      <c r="B32" s="167"/>
      <c r="C32" s="167"/>
      <c r="D32" s="167"/>
      <c r="E32" s="163">
        <f>SUM(E30:E31)</f>
        <v>2913000000</v>
      </c>
      <c r="F32" s="163">
        <f>SUM(F30:F31)</f>
        <v>4198000000</v>
      </c>
      <c r="G32" s="163"/>
      <c r="H32" s="156"/>
      <c r="I32" s="131"/>
      <c r="J32" s="131"/>
      <c r="K32" s="131"/>
      <c r="L32" s="131"/>
      <c r="M32" s="131"/>
      <c r="N32" s="131"/>
      <c r="O32" s="131"/>
      <c r="P32" s="131"/>
      <c r="Q32" s="131"/>
      <c r="R32" s="131"/>
      <c r="S32" s="131"/>
      <c r="T32" s="131"/>
      <c r="U32" s="131"/>
      <c r="V32" s="131"/>
      <c r="W32" s="131"/>
      <c r="X32" s="131"/>
      <c r="Y32" s="131"/>
      <c r="Z32" s="131"/>
    </row>
    <row r="33" spans="1:26" s="119" customFormat="1" ht="1.9" hidden="1" customHeight="1" x14ac:dyDescent="0.25">
      <c r="A33" s="131"/>
      <c r="B33" s="131"/>
      <c r="C33" s="131"/>
      <c r="D33" s="131"/>
      <c r="E33" s="131"/>
      <c r="F33" s="131"/>
      <c r="G33" s="131"/>
      <c r="H33" s="131"/>
      <c r="I33" s="131"/>
      <c r="J33" s="131"/>
      <c r="K33" s="131"/>
      <c r="L33" s="131"/>
      <c r="M33" s="131"/>
      <c r="N33" s="131"/>
      <c r="O33" s="131"/>
      <c r="P33" s="131"/>
      <c r="Q33" s="131"/>
      <c r="R33" s="131"/>
      <c r="S33" s="131"/>
      <c r="T33" s="131"/>
      <c r="U33" s="131"/>
      <c r="V33" s="131"/>
      <c r="W33" s="131"/>
      <c r="X33" s="131"/>
      <c r="Y33" s="131"/>
      <c r="Z33" s="131"/>
    </row>
    <row r="34" spans="1:26" s="119" customFormat="1" ht="13.9" x14ac:dyDescent="0.25">
      <c r="A34" s="133" t="s">
        <v>100</v>
      </c>
      <c r="B34" s="133"/>
      <c r="C34" s="133"/>
      <c r="D34" s="133"/>
      <c r="E34" s="131"/>
      <c r="F34" s="131"/>
      <c r="G34" s="131"/>
      <c r="H34" s="131" t="s">
        <v>124</v>
      </c>
      <c r="I34" s="131"/>
      <c r="J34" s="131"/>
      <c r="K34" s="131"/>
      <c r="L34" s="131"/>
      <c r="M34" s="131"/>
      <c r="N34" s="131"/>
      <c r="O34" s="131"/>
      <c r="P34" s="131"/>
      <c r="Q34" s="131"/>
      <c r="R34" s="131"/>
      <c r="S34" s="131"/>
      <c r="T34" s="131"/>
      <c r="U34" s="131"/>
      <c r="V34" s="131"/>
      <c r="W34" s="131"/>
      <c r="X34" s="131"/>
      <c r="Y34" s="131"/>
      <c r="Z34" s="131"/>
    </row>
    <row r="35" spans="1:26" s="119" customFormat="1" ht="13.9" x14ac:dyDescent="0.25">
      <c r="A35" s="168" t="s">
        <v>50</v>
      </c>
      <c r="B35" s="168"/>
      <c r="C35" s="168"/>
      <c r="D35" s="168"/>
      <c r="E35" s="104">
        <f>BalanceSheets!D9</f>
        <v>682000000</v>
      </c>
      <c r="F35" s="104">
        <f>E36</f>
        <v>3515000000</v>
      </c>
      <c r="G35" s="104"/>
      <c r="H35" s="131" t="s">
        <v>210</v>
      </c>
      <c r="I35" s="131"/>
      <c r="J35" s="131"/>
      <c r="K35" s="131"/>
      <c r="L35" s="131"/>
      <c r="M35" s="131"/>
      <c r="N35" s="131"/>
      <c r="O35" s="131"/>
      <c r="P35" s="131"/>
      <c r="Q35" s="131"/>
      <c r="R35" s="131"/>
      <c r="S35" s="131"/>
      <c r="T35" s="131"/>
      <c r="U35" s="131"/>
      <c r="V35" s="131"/>
      <c r="W35" s="131"/>
      <c r="X35" s="131"/>
      <c r="Y35" s="131"/>
      <c r="Z35" s="131"/>
    </row>
    <row r="36" spans="1:26" s="119" customFormat="1" ht="14.45" thickBot="1" x14ac:dyDescent="0.3">
      <c r="A36" s="168" t="s">
        <v>52</v>
      </c>
      <c r="B36" s="168"/>
      <c r="C36" s="168"/>
      <c r="D36" s="168"/>
      <c r="E36" s="251">
        <f>(E20+E27+E32)+E35</f>
        <v>3515000000</v>
      </c>
      <c r="F36" s="251">
        <f>(F20+F27+F32)+F35</f>
        <v>6807000000</v>
      </c>
      <c r="G36" s="104"/>
      <c r="H36" s="131"/>
      <c r="I36" s="131"/>
      <c r="J36" s="131"/>
      <c r="K36" s="131"/>
      <c r="L36" s="131"/>
      <c r="M36" s="131"/>
      <c r="N36" s="131"/>
      <c r="O36" s="131"/>
      <c r="P36" s="131"/>
      <c r="Q36" s="131"/>
      <c r="R36" s="131"/>
      <c r="S36" s="131"/>
      <c r="T36" s="131"/>
      <c r="U36" s="131"/>
      <c r="V36" s="131"/>
      <c r="W36" s="131"/>
      <c r="X36" s="131"/>
      <c r="Y36" s="131"/>
      <c r="Z36" s="131"/>
    </row>
    <row r="37" spans="1:26" s="119" customFormat="1" ht="14.45" thickTop="1" x14ac:dyDescent="0.25">
      <c r="A37" s="168" t="s">
        <v>51</v>
      </c>
      <c r="B37" s="168"/>
      <c r="C37" s="168"/>
      <c r="D37" s="168"/>
      <c r="E37" s="196">
        <f>'Financial Statement Inputs'!E69</f>
        <v>250000000</v>
      </c>
      <c r="F37" s="196">
        <f>'Financial Statement Inputs'!F69</f>
        <v>250000000</v>
      </c>
      <c r="G37" s="104"/>
      <c r="H37" s="131" t="s">
        <v>239</v>
      </c>
      <c r="I37" s="131"/>
      <c r="J37" s="131"/>
      <c r="K37" s="131"/>
      <c r="L37" s="131"/>
      <c r="M37" s="131"/>
      <c r="N37" s="131"/>
      <c r="O37" s="131"/>
      <c r="P37" s="131"/>
      <c r="Q37" s="131"/>
      <c r="R37" s="131"/>
      <c r="S37" s="131"/>
      <c r="T37" s="131"/>
      <c r="U37" s="131"/>
      <c r="V37" s="131"/>
      <c r="W37" s="131"/>
      <c r="X37" s="131"/>
      <c r="Y37" s="131"/>
      <c r="Z37" s="131"/>
    </row>
    <row r="38" spans="1:26" s="119" customFormat="1" ht="13.9" x14ac:dyDescent="0.25">
      <c r="A38" s="168" t="s">
        <v>53</v>
      </c>
      <c r="B38" s="168"/>
      <c r="C38" s="168"/>
      <c r="D38" s="168"/>
      <c r="E38" s="111">
        <f>E36-E37</f>
        <v>3265000000</v>
      </c>
      <c r="F38" s="111">
        <f>F36-F37</f>
        <v>6557000000</v>
      </c>
      <c r="G38" s="104"/>
      <c r="H38" s="131"/>
      <c r="I38" s="131"/>
      <c r="J38" s="131"/>
      <c r="K38" s="131"/>
      <c r="L38" s="131"/>
      <c r="M38" s="131"/>
      <c r="N38" s="131"/>
      <c r="O38" s="131"/>
      <c r="P38" s="131"/>
      <c r="Q38" s="131"/>
      <c r="R38" s="131"/>
      <c r="S38" s="131"/>
      <c r="T38" s="131"/>
      <c r="U38" s="131"/>
      <c r="V38" s="131"/>
      <c r="W38" s="131"/>
      <c r="X38" s="131"/>
      <c r="Y38" s="131"/>
      <c r="Z38" s="131"/>
    </row>
    <row r="39" spans="1:26" s="119" customFormat="1" ht="1.9" customHeight="1" x14ac:dyDescent="0.25">
      <c r="A39" s="131"/>
      <c r="B39" s="131"/>
      <c r="C39" s="131"/>
      <c r="D39" s="131"/>
      <c r="E39" s="104"/>
      <c r="F39" s="104"/>
      <c r="G39" s="104"/>
      <c r="H39" s="131"/>
      <c r="I39" s="131"/>
      <c r="J39" s="131"/>
      <c r="K39" s="131"/>
      <c r="L39" s="131"/>
      <c r="M39" s="131"/>
      <c r="N39" s="131"/>
      <c r="O39" s="131"/>
      <c r="P39" s="131"/>
      <c r="Q39" s="131"/>
      <c r="R39" s="131"/>
      <c r="S39" s="131"/>
      <c r="T39" s="131"/>
      <c r="U39" s="131"/>
      <c r="V39" s="131"/>
      <c r="W39" s="131"/>
      <c r="X39" s="131"/>
      <c r="Y39" s="131"/>
      <c r="Z39" s="131"/>
    </row>
    <row r="40" spans="1:26" s="119" customFormat="1" ht="13.9" x14ac:dyDescent="0.25">
      <c r="A40" s="142" t="s">
        <v>63</v>
      </c>
      <c r="B40" s="142"/>
      <c r="C40" s="142"/>
      <c r="D40" s="142"/>
      <c r="E40" s="104">
        <f>BalanceSheets!E9</f>
        <v>3515000000</v>
      </c>
      <c r="F40" s="104">
        <f>BalanceSheets!F9</f>
        <v>6807000000</v>
      </c>
      <c r="G40" s="104"/>
      <c r="H40" s="131"/>
      <c r="I40" s="131"/>
      <c r="J40" s="131"/>
      <c r="K40" s="131"/>
      <c r="L40" s="131"/>
      <c r="M40" s="131"/>
      <c r="N40" s="131"/>
      <c r="O40" s="131"/>
      <c r="P40" s="131"/>
      <c r="Q40" s="131"/>
      <c r="R40" s="131"/>
      <c r="S40" s="131"/>
      <c r="T40" s="131"/>
      <c r="U40" s="131"/>
      <c r="V40" s="131"/>
      <c r="W40" s="131"/>
      <c r="X40" s="131"/>
      <c r="Y40" s="131"/>
      <c r="Z40" s="131"/>
    </row>
    <row r="41" spans="1:26" s="119" customFormat="1" ht="13.9" x14ac:dyDescent="0.25">
      <c r="A41" s="142" t="s">
        <v>62</v>
      </c>
      <c r="B41" s="142"/>
      <c r="C41" s="142"/>
      <c r="D41" s="142"/>
      <c r="E41" s="169" t="str">
        <f>IF(ABS(E$36-E$40)&gt;1000000, "Error", "OK")</f>
        <v>OK</v>
      </c>
      <c r="F41" s="169" t="str">
        <f>IF(ABS(F$36-F$40)&gt;1000000, "Error", "OK")</f>
        <v>OK</v>
      </c>
      <c r="G41" s="169"/>
      <c r="H41" s="131"/>
      <c r="I41" s="131"/>
      <c r="J41" s="131"/>
      <c r="K41" s="131"/>
      <c r="L41" s="131"/>
      <c r="M41" s="131"/>
      <c r="N41" s="131"/>
      <c r="O41" s="131"/>
      <c r="P41" s="131"/>
      <c r="Q41" s="131"/>
      <c r="R41" s="131"/>
      <c r="S41" s="131"/>
      <c r="T41" s="131"/>
      <c r="U41" s="131"/>
      <c r="V41" s="131"/>
      <c r="W41" s="131"/>
      <c r="X41" s="131"/>
      <c r="Y41" s="131"/>
      <c r="Z41" s="131"/>
    </row>
    <row r="42" spans="1:26" s="119" customFormat="1" x14ac:dyDescent="0.25">
      <c r="A42" s="131"/>
      <c r="B42" s="131"/>
      <c r="C42" s="131"/>
      <c r="D42" s="131"/>
      <c r="E42" s="131"/>
      <c r="F42" s="131"/>
      <c r="G42" s="131"/>
      <c r="H42" s="131"/>
      <c r="I42" s="131"/>
      <c r="J42" s="131"/>
      <c r="K42" s="131"/>
      <c r="L42" s="131"/>
      <c r="M42" s="131"/>
      <c r="N42" s="131"/>
      <c r="O42" s="131"/>
      <c r="P42" s="131"/>
      <c r="Q42" s="131"/>
      <c r="R42" s="131"/>
      <c r="S42" s="131"/>
      <c r="T42" s="131"/>
      <c r="U42" s="131"/>
      <c r="V42" s="131"/>
      <c r="W42" s="131"/>
      <c r="X42" s="131"/>
      <c r="Y42" s="131"/>
      <c r="Z42" s="131"/>
    </row>
    <row r="43" spans="1:26" s="119" customFormat="1" x14ac:dyDescent="0.25">
      <c r="A43" s="131"/>
      <c r="B43" s="131"/>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row>
    <row r="44" spans="1:26" s="119" customFormat="1" x14ac:dyDescent="0.25">
      <c r="A44" s="131"/>
      <c r="B44" s="131"/>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131"/>
    </row>
    <row r="45" spans="1:26" s="119" customFormat="1" x14ac:dyDescent="0.25">
      <c r="A45" s="131"/>
      <c r="B45" s="131"/>
      <c r="C45" s="131"/>
      <c r="D45" s="131"/>
      <c r="E45" s="131"/>
      <c r="F45" s="131"/>
      <c r="G45" s="131"/>
      <c r="H45" s="131"/>
      <c r="I45" s="131"/>
      <c r="J45" s="131"/>
      <c r="K45" s="131"/>
      <c r="L45" s="131"/>
      <c r="M45" s="131"/>
      <c r="N45" s="131"/>
      <c r="O45" s="131"/>
      <c r="P45" s="131"/>
      <c r="Q45" s="131"/>
      <c r="R45" s="131"/>
      <c r="S45" s="131"/>
      <c r="T45" s="131"/>
      <c r="U45" s="131"/>
      <c r="V45" s="131"/>
      <c r="W45" s="131"/>
      <c r="X45" s="131"/>
      <c r="Y45" s="131"/>
      <c r="Z45" s="131"/>
    </row>
    <row r="46" spans="1:26" s="119" customForma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131"/>
    </row>
    <row r="47" spans="1:26" s="119" customFormat="1" x14ac:dyDescent="0.25">
      <c r="A47" s="131"/>
      <c r="B47" s="131"/>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131"/>
    </row>
    <row r="48" spans="1:26" s="119" customForma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c r="X48" s="131"/>
      <c r="Y48" s="131"/>
      <c r="Z48" s="131"/>
    </row>
    <row r="49" spans="1:26" s="119" customFormat="1" x14ac:dyDescent="0.25">
      <c r="A49" s="131"/>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row>
    <row r="50" spans="1:26" s="119" customForma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c r="X50" s="131"/>
      <c r="Y50" s="131"/>
      <c r="Z50" s="131"/>
    </row>
    <row r="51" spans="1:26" s="119" customForma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c r="X51" s="131"/>
      <c r="Y51" s="131"/>
      <c r="Z51" s="131"/>
    </row>
    <row r="52" spans="1:26" s="119" customForma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c r="X52" s="131"/>
      <c r="Y52" s="131"/>
      <c r="Z52" s="131"/>
    </row>
    <row r="53" spans="1:26" x14ac:dyDescent="0.25">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row>
    <row r="54" spans="1:26" x14ac:dyDescent="0.25">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row>
    <row r="55" spans="1:26" x14ac:dyDescent="0.25">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row>
    <row r="56" spans="1:26" x14ac:dyDescent="0.25">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row>
    <row r="57" spans="1:26" x14ac:dyDescent="0.25">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row>
    <row r="58" spans="1:26" x14ac:dyDescent="0.25">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row>
    <row r="59" spans="1:26" x14ac:dyDescent="0.25">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row>
    <row r="60" spans="1:26" x14ac:dyDescent="0.25">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row>
    <row r="61" spans="1:26" x14ac:dyDescent="0.25">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row>
    <row r="62" spans="1:26" x14ac:dyDescent="0.25">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row>
    <row r="63" spans="1:26" x14ac:dyDescent="0.25">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row>
    <row r="64" spans="1:26" x14ac:dyDescent="0.25">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row>
    <row r="65" spans="1:26" x14ac:dyDescent="0.25">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row>
    <row r="66" spans="1:26" x14ac:dyDescent="0.2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row>
    <row r="67" spans="1:26" x14ac:dyDescent="0.2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row>
    <row r="68" spans="1:26" x14ac:dyDescent="0.2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row>
    <row r="69" spans="1:26" x14ac:dyDescent="0.2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row>
    <row r="70" spans="1:26" x14ac:dyDescent="0.2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row>
    <row r="71" spans="1:26" x14ac:dyDescent="0.2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row>
    <row r="72" spans="1:26" x14ac:dyDescent="0.2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row>
    <row r="73" spans="1:26" x14ac:dyDescent="0.2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row>
    <row r="74" spans="1:26" x14ac:dyDescent="0.2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row>
    <row r="75" spans="1:26" x14ac:dyDescent="0.2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row>
    <row r="76" spans="1:26" x14ac:dyDescent="0.2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row>
    <row r="77" spans="1:26" x14ac:dyDescent="0.2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row>
    <row r="78" spans="1:26" x14ac:dyDescent="0.2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row>
    <row r="79" spans="1:26" x14ac:dyDescent="0.2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row>
    <row r="80" spans="1:26" x14ac:dyDescent="0.2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row>
    <row r="81" spans="1:26" x14ac:dyDescent="0.2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row>
    <row r="82" spans="1:26" x14ac:dyDescent="0.2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row>
    <row r="83" spans="1:26" x14ac:dyDescent="0.2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row>
    <row r="84" spans="1:26" x14ac:dyDescent="0.2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row>
    <row r="85" spans="1:26" x14ac:dyDescent="0.2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row>
    <row r="86" spans="1:26" x14ac:dyDescent="0.2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row>
    <row r="87" spans="1:26" x14ac:dyDescent="0.25">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row>
    <row r="88" spans="1:26" x14ac:dyDescent="0.2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row>
    <row r="89" spans="1:26" x14ac:dyDescent="0.2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row>
    <row r="90" spans="1:26" x14ac:dyDescent="0.25">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row>
    <row r="91" spans="1:26" x14ac:dyDescent="0.25">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row>
    <row r="92" spans="1:26" x14ac:dyDescent="0.25">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row>
    <row r="93" spans="1:26" x14ac:dyDescent="0.25">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row>
    <row r="94" spans="1:26" x14ac:dyDescent="0.25">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row>
    <row r="95" spans="1:26" x14ac:dyDescent="0.25">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row>
    <row r="96" spans="1:26" x14ac:dyDescent="0.25">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row>
    <row r="97" spans="1:26" x14ac:dyDescent="0.2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row>
    <row r="98" spans="1:26" x14ac:dyDescent="0.25">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row>
    <row r="99" spans="1:26" x14ac:dyDescent="0.2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row>
    <row r="100" spans="1:26" x14ac:dyDescent="0.25">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row>
    <row r="101" spans="1:26" x14ac:dyDescent="0.25">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row>
    <row r="102" spans="1:26" x14ac:dyDescent="0.25">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spans="1:26" x14ac:dyDescent="0.25">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spans="1:26" x14ac:dyDescent="0.25">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spans="1:26" x14ac:dyDescent="0.25">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sheetData>
  <mergeCells count="4">
    <mergeCell ref="A3:F3"/>
    <mergeCell ref="A4:F4"/>
    <mergeCell ref="A2:F2"/>
    <mergeCell ref="A1:F1"/>
  </mergeCells>
  <phoneticPr fontId="32" type="noConversion"/>
  <conditionalFormatting sqref="E41:G41">
    <cfRule type="containsText" dxfId="19" priority="3" operator="containsText" text="Error">
      <formula>NOT(ISERROR(SEARCH("Error",E41)))</formula>
    </cfRule>
    <cfRule type="containsText" dxfId="18" priority="4" operator="containsText" text="OK">
      <formula>NOT(ISERROR(SEARCH("OK",E41)))</formula>
    </cfRule>
  </conditionalFormatting>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I76"/>
  <sheetViews>
    <sheetView showGridLines="0" tabSelected="1" zoomScale="110" zoomScaleNormal="110" workbookViewId="0">
      <pane ySplit="1" topLeftCell="A42" activePane="bottomLeft" state="frozen"/>
      <selection pane="bottomLeft" activeCell="J64" sqref="J64"/>
    </sheetView>
  </sheetViews>
  <sheetFormatPr defaultColWidth="8.7109375" defaultRowHeight="15" x14ac:dyDescent="0.25"/>
  <cols>
    <col min="1" max="1" width="65.7109375" customWidth="1"/>
    <col min="2" max="3" width="50.28515625" hidden="1" customWidth="1"/>
    <col min="4" max="4" width="8.28515625" bestFit="1" customWidth="1"/>
    <col min="5" max="5" width="10.7109375" customWidth="1"/>
    <col min="6" max="6" width="10.42578125" customWidth="1"/>
    <col min="7" max="7" width="5.7109375" bestFit="1" customWidth="1"/>
  </cols>
  <sheetData>
    <row r="1" spans="1:9" ht="32.450000000000003" thickBot="1" x14ac:dyDescent="0.55000000000000004">
      <c r="A1" s="291" t="s">
        <v>164</v>
      </c>
      <c r="B1" s="289"/>
      <c r="C1" s="289"/>
      <c r="D1" s="290">
        <f>BalanceSheets!D7</f>
        <v>2011</v>
      </c>
      <c r="E1" s="290">
        <f>BalanceSheets!E7</f>
        <v>2012</v>
      </c>
      <c r="F1" s="290">
        <f>BalanceSheets!F7</f>
        <v>2013</v>
      </c>
    </row>
    <row r="2" spans="1:9" ht="14.45" x14ac:dyDescent="0.3">
      <c r="A2" s="13" t="s">
        <v>163</v>
      </c>
      <c r="B2" s="13"/>
      <c r="C2" s="13"/>
      <c r="D2" s="1"/>
      <c r="E2" s="1"/>
      <c r="F2" s="1"/>
    </row>
    <row r="3" spans="1:9" ht="14.45" x14ac:dyDescent="0.3">
      <c r="A3" s="14" t="s">
        <v>156</v>
      </c>
      <c r="B3" s="14"/>
      <c r="C3" s="14"/>
      <c r="D3" s="282">
        <v>365</v>
      </c>
      <c r="E3" s="1"/>
      <c r="F3" s="1"/>
    </row>
    <row r="4" spans="1:9" ht="14.45" x14ac:dyDescent="0.3">
      <c r="A4" s="14" t="s">
        <v>165</v>
      </c>
      <c r="B4" s="14"/>
      <c r="C4" s="14"/>
      <c r="D4" s="281">
        <v>0.1</v>
      </c>
      <c r="E4" s="281">
        <v>0.1</v>
      </c>
      <c r="F4" s="281">
        <v>0.1</v>
      </c>
    </row>
    <row r="5" spans="1:9" ht="14.45" x14ac:dyDescent="0.3">
      <c r="A5" s="14" t="s">
        <v>166</v>
      </c>
      <c r="B5" s="14"/>
      <c r="C5" s="14"/>
      <c r="D5" s="283">
        <v>50</v>
      </c>
      <c r="E5" s="283">
        <v>50</v>
      </c>
      <c r="F5" s="283">
        <v>50</v>
      </c>
      <c r="H5" s="223"/>
    </row>
    <row r="6" spans="1:9" ht="3" customHeight="1" x14ac:dyDescent="0.3">
      <c r="A6" s="14"/>
      <c r="B6" s="14"/>
      <c r="C6" s="14"/>
      <c r="E6" s="1"/>
      <c r="F6" s="1"/>
    </row>
    <row r="7" spans="1:9" ht="14.45" x14ac:dyDescent="0.3">
      <c r="A7" s="13" t="s">
        <v>162</v>
      </c>
      <c r="B7" s="13"/>
      <c r="C7" s="13"/>
      <c r="D7" s="1"/>
      <c r="E7" s="1"/>
      <c r="F7" s="1"/>
    </row>
    <row r="8" spans="1:9" ht="14.45" x14ac:dyDescent="0.3">
      <c r="A8" s="88" t="s">
        <v>167</v>
      </c>
      <c r="B8" s="88"/>
      <c r="C8" s="88"/>
      <c r="D8" s="13"/>
      <c r="E8" s="13"/>
      <c r="F8" s="13"/>
    </row>
    <row r="9" spans="1:9" ht="14.45" x14ac:dyDescent="0.3">
      <c r="A9" s="14" t="s">
        <v>136</v>
      </c>
      <c r="B9" s="14"/>
      <c r="C9" s="14"/>
      <c r="D9" s="87">
        <f>BalanceSheets!D$13/BalanceSheets!D$28</f>
        <v>1.5861763402747009</v>
      </c>
      <c r="E9" s="87">
        <f>BalanceSheets!E$13/BalanceSheets!E$28</f>
        <v>1.7099891422366993</v>
      </c>
      <c r="F9" s="87">
        <f>BalanceSheets!F$13/BalanceSheets!F$28</f>
        <v>2.1106154314103214</v>
      </c>
      <c r="I9" s="223"/>
    </row>
    <row r="10" spans="1:9" ht="14.45" x14ac:dyDescent="0.3">
      <c r="A10" s="14" t="s">
        <v>137</v>
      </c>
      <c r="B10" s="14"/>
      <c r="C10" s="14"/>
      <c r="D10" s="87">
        <f>(BalanceSheets!D$9+BalanceSheets!D$10)/BalanceSheets!D$28</f>
        <v>0.8403485452665781</v>
      </c>
      <c r="E10" s="87">
        <f>(BalanceSheets!E$9+BalanceSheets!E$10)/BalanceSheets!E$28</f>
        <v>0.93355048859934853</v>
      </c>
      <c r="F10" s="87">
        <f>(BalanceSheets!F$9+BalanceSheets!F$10)/BalanceSheets!F$28</f>
        <v>1.3068032038933388</v>
      </c>
    </row>
    <row r="11" spans="1:9" ht="14.45" x14ac:dyDescent="0.3">
      <c r="A11" s="14" t="s">
        <v>138</v>
      </c>
      <c r="B11" s="14"/>
      <c r="C11" s="14"/>
      <c r="D11" s="87">
        <f>(BalanceSheets!D$13-BalanceSheets!D$11-BalanceSheets!D$12)/BalanceSheets!D$28</f>
        <v>0.8403485452665781</v>
      </c>
      <c r="E11" s="87">
        <f>(BalanceSheets!E$13-BalanceSheets!E$11-BalanceSheets!E$12)/BalanceSheets!E$28</f>
        <v>0.93355048859934853</v>
      </c>
      <c r="F11" s="87">
        <f>(BalanceSheets!F$13-BalanceSheets!F$11-BalanceSheets!F$12)/BalanceSheets!F$28</f>
        <v>1.3068032038933388</v>
      </c>
    </row>
    <row r="12" spans="1:9" ht="14.45" x14ac:dyDescent="0.3">
      <c r="A12" s="14" t="s">
        <v>139</v>
      </c>
      <c r="B12" s="14"/>
      <c r="C12" s="14"/>
      <c r="D12" s="87">
        <f>BalanceSheets!D$9/BalanceSheets!D$28</f>
        <v>0.1007236744941663</v>
      </c>
      <c r="E12" s="87">
        <f>BalanceSheets!E$9/BalanceSheets!E$28</f>
        <v>0.38165038002171553</v>
      </c>
      <c r="F12" s="87">
        <f>BalanceSheets!F$9/BalanceSheets!F$28</f>
        <v>0.69015512521545164</v>
      </c>
    </row>
    <row r="13" spans="1:9" ht="14.45" x14ac:dyDescent="0.3">
      <c r="A13" s="88" t="s">
        <v>168</v>
      </c>
      <c r="B13" s="88"/>
      <c r="C13" s="88"/>
      <c r="D13" s="87"/>
      <c r="E13" s="87"/>
      <c r="F13" s="87"/>
    </row>
    <row r="14" spans="1:9" ht="14.45" x14ac:dyDescent="0.3">
      <c r="A14" s="14" t="s">
        <v>140</v>
      </c>
      <c r="B14" s="14"/>
      <c r="C14" s="14"/>
      <c r="D14" s="117">
        <f>(BalanceSheets!D$25+BalanceSheets!D$32)/BalanceSheets!D$20</f>
        <v>0.39028749028749027</v>
      </c>
      <c r="E14" s="117">
        <f>(BalanceSheets!E$25+BalanceSheets!E$32)/BalanceSheets!E$20</f>
        <v>0.40044261201721942</v>
      </c>
      <c r="F14" s="117">
        <f>(BalanceSheets!F$25+BalanceSheets!F$32)/BalanceSheets!F$20</f>
        <v>0.42472277680225146</v>
      </c>
    </row>
    <row r="15" spans="1:9" ht="14.45" x14ac:dyDescent="0.3">
      <c r="A15" s="14" t="s">
        <v>141</v>
      </c>
      <c r="B15" s="14"/>
      <c r="C15" s="14"/>
      <c r="D15" s="67">
        <f>BalanceSheets!D$25+BalanceSheets!D$32</f>
        <v>10046000000</v>
      </c>
      <c r="E15" s="67">
        <f>BalanceSheets!E$25+BalanceSheets!E$32</f>
        <v>13209000000</v>
      </c>
      <c r="F15" s="67">
        <f>BalanceSheets!F$25+BalanceSheets!F$32</f>
        <v>17657000000</v>
      </c>
    </row>
    <row r="16" spans="1:9" ht="14.45" x14ac:dyDescent="0.3">
      <c r="A16" s="14" t="s">
        <v>142</v>
      </c>
      <c r="B16" s="14"/>
      <c r="C16" s="14"/>
      <c r="D16" s="117">
        <f>BalanceSheets!D$34/BalanceSheets!D$20</f>
        <v>0.66989121989121991</v>
      </c>
      <c r="E16" s="117">
        <f>BalanceSheets!E$34/BalanceSheets!E$20</f>
        <v>0.70936154732310674</v>
      </c>
      <c r="F16" s="117">
        <f>BalanceSheets!F$34/BalanceSheets!F$20</f>
        <v>0.70540976114304954</v>
      </c>
      <c r="I16" s="223"/>
    </row>
    <row r="17" spans="1:9" ht="14.45" x14ac:dyDescent="0.3">
      <c r="A17" s="14" t="s">
        <v>143</v>
      </c>
      <c r="B17" s="14"/>
      <c r="C17" s="14"/>
      <c r="D17" s="117">
        <f>(BalanceSheets!D$25+BalanceSheets!D$32)/BalanceSheets!D$39</f>
        <v>1.1822996351653525</v>
      </c>
      <c r="E17" s="117">
        <f>(BalanceSheets!E$25+BalanceSheets!E$32)/BalanceSheets!E$39</f>
        <v>1.3778032752685929</v>
      </c>
      <c r="F17" s="117">
        <f>(BalanceSheets!F$25+BalanceSheets!F$32)/BalanceSheets!F$39</f>
        <v>1.4417408344900793</v>
      </c>
    </row>
    <row r="18" spans="1:9" ht="14.45" x14ac:dyDescent="0.3">
      <c r="A18" s="14" t="s">
        <v>144</v>
      </c>
      <c r="B18" s="14"/>
      <c r="C18" s="14"/>
      <c r="D18" s="117">
        <f>(BalanceSheets!D$25+BalanceSheets!D$32)/(BalanceSheets!D$20-BalanceSheets!D$34)</f>
        <v>1.1822996351653525</v>
      </c>
      <c r="E18" s="117">
        <f>(BalanceSheets!E$25+BalanceSheets!E$32)/(BalanceSheets!E$20-BalanceSheets!E$34)</f>
        <v>1.3778032752685929</v>
      </c>
      <c r="F18" s="117">
        <f>(BalanceSheets!F$25+BalanceSheets!F$32)/(BalanceSheets!F$20-BalanceSheets!F$34)</f>
        <v>1.4417408344900793</v>
      </c>
    </row>
    <row r="19" spans="1:9" ht="14.45" x14ac:dyDescent="0.3">
      <c r="A19" s="14" t="s">
        <v>145</v>
      </c>
      <c r="B19" s="14"/>
      <c r="C19" s="14"/>
      <c r="D19" s="117">
        <f>BalanceSheets!D$32/BalanceSheets!D$39</f>
        <v>1.0788513593032836</v>
      </c>
      <c r="E19" s="117">
        <f>BalanceSheets!E$32/BalanceSheets!E$39</f>
        <v>1.2718264316261605</v>
      </c>
      <c r="F19" s="117">
        <f>BalanceSheets!F$32/BalanceSheets!F$39</f>
        <v>1.3922593288152201</v>
      </c>
    </row>
    <row r="20" spans="1:9" ht="14.45" x14ac:dyDescent="0.3">
      <c r="A20" s="14" t="s">
        <v>147</v>
      </c>
      <c r="B20" s="14"/>
      <c r="C20" s="14"/>
      <c r="D20" s="87"/>
      <c r="E20" s="117">
        <f>((IncomeStatements!E$14/IncomeStatements!D$14)-1)</f>
        <v>-0.33631108775617446</v>
      </c>
      <c r="F20" s="117">
        <f>((IncomeStatements!F$14/IncomeStatements!E$14)-1)</f>
        <v>0.91646872525732381</v>
      </c>
      <c r="I20" s="223"/>
    </row>
    <row r="21" spans="1:9" ht="14.45" x14ac:dyDescent="0.3">
      <c r="A21" s="14" t="s">
        <v>151</v>
      </c>
      <c r="B21" s="14"/>
      <c r="C21" s="14"/>
      <c r="D21" s="87"/>
      <c r="E21" s="117">
        <f>((IncomeStatements!E$8/IncomeStatements!D$8)-1)</f>
        <v>0.37298405061035367</v>
      </c>
      <c r="F21" s="117">
        <f>((IncomeStatements!F$8/IncomeStatements!E$8)-1)</f>
        <v>0.2158695134877886</v>
      </c>
    </row>
    <row r="22" spans="1:9" ht="14.45" x14ac:dyDescent="0.3">
      <c r="A22" s="14" t="s">
        <v>146</v>
      </c>
      <c r="B22" s="14"/>
      <c r="C22" s="14"/>
      <c r="D22" s="87"/>
      <c r="E22" s="87">
        <f>((IncomeStatements!E$14/IncomeStatements!D$14)-1)/((IncomeStatements!E$8/IncomeStatements!D$8)-1)</f>
        <v>-0.90167686046047457</v>
      </c>
      <c r="F22" s="87">
        <f>((IncomeStatements!F$14/IncomeStatements!E$14)-1)/((IncomeStatements!F$8/IncomeStatements!E$8)-1)</f>
        <v>4.2454754747439916</v>
      </c>
    </row>
    <row r="23" spans="1:9" ht="14.45" x14ac:dyDescent="0.3">
      <c r="A23" s="14" t="s">
        <v>148</v>
      </c>
      <c r="B23" s="14"/>
      <c r="C23" s="14"/>
      <c r="D23" s="87"/>
      <c r="E23" s="117">
        <f>(IncomeStatements!E21/IncomeStatements!D21)-1</f>
        <v>-0.41663038746190684</v>
      </c>
      <c r="F23" s="117">
        <f>(IncomeStatements!F21/IncomeStatements!E21)-1</f>
        <v>1.1716417910447761</v>
      </c>
    </row>
    <row r="24" spans="1:9" ht="14.45" x14ac:dyDescent="0.3">
      <c r="A24" s="14" t="s">
        <v>149</v>
      </c>
      <c r="B24" s="14"/>
      <c r="C24" s="14"/>
      <c r="D24" s="87"/>
      <c r="E24" s="87">
        <f>E23/E20</f>
        <v>1.2388244177187635</v>
      </c>
      <c r="F24" s="87">
        <f>((IncomeStatements!F21/IncomeStatements!E21)-1)/((IncomeStatements!F14/IncomeStatements!E14)-1)</f>
        <v>1.2784307404661357</v>
      </c>
    </row>
    <row r="25" spans="1:9" ht="14.45" x14ac:dyDescent="0.3">
      <c r="A25" s="14" t="s">
        <v>150</v>
      </c>
      <c r="B25" s="14"/>
      <c r="C25" s="14"/>
      <c r="D25" s="87"/>
      <c r="E25" s="117">
        <f>(IncomeStatements!E18/IncomeStatements!D18)-1</f>
        <v>-0.41663038746190684</v>
      </c>
      <c r="F25" s="117">
        <f>(IncomeStatements!F18/IncomeStatements!E18)-1</f>
        <v>1.1716417910447761</v>
      </c>
    </row>
    <row r="26" spans="1:9" ht="14.45" x14ac:dyDescent="0.3">
      <c r="A26" s="14" t="s">
        <v>152</v>
      </c>
      <c r="B26" s="14"/>
      <c r="C26" s="14"/>
      <c r="D26" s="87"/>
      <c r="E26" s="87">
        <f>E23/E21</f>
        <v>-1.1170193116304303</v>
      </c>
      <c r="F26" s="87">
        <f>F23/F21</f>
        <v>5.4275463548077809</v>
      </c>
    </row>
    <row r="27" spans="1:9" ht="14.45" x14ac:dyDescent="0.3">
      <c r="A27" s="14" t="s">
        <v>153</v>
      </c>
      <c r="B27" s="14"/>
      <c r="C27" s="14"/>
      <c r="D27" s="87">
        <f>IncomeStatements!D$14/IncomeStatements!D$15</f>
        <v>7.2495238095238097</v>
      </c>
      <c r="E27" s="87">
        <f>IncomeStatements!E$14/IncomeStatements!E$15</f>
        <v>4.1342062193126026</v>
      </c>
      <c r="F27" s="87">
        <f>IncomeStatements!F$14/IncomeStatements!F$15</f>
        <v>7.0774853801169595</v>
      </c>
    </row>
    <row r="28" spans="1:9" ht="14.45" x14ac:dyDescent="0.3">
      <c r="A28" s="14" t="s">
        <v>154</v>
      </c>
      <c r="B28" s="14"/>
      <c r="C28" s="14"/>
      <c r="D28" s="87">
        <f>(IncomeStatements!D14+IncomeStatements!D13)/IncomeStatements!D15</f>
        <v>8.9066666666666663</v>
      </c>
      <c r="E28" s="87">
        <f>(IncomeStatements!E14+IncomeStatements!E13)/IncomeStatements!E15</f>
        <v>6.1096563011456633</v>
      </c>
      <c r="F28" s="87">
        <f>(IncomeStatements!F14+IncomeStatements!F13)/IncomeStatements!F15</f>
        <v>9.2850877192982448</v>
      </c>
    </row>
    <row r="29" spans="1:9" ht="14.45" x14ac:dyDescent="0.3">
      <c r="A29" s="88" t="s">
        <v>169</v>
      </c>
      <c r="B29" s="88"/>
      <c r="C29" s="88"/>
      <c r="D29" s="87"/>
      <c r="E29" s="87"/>
      <c r="F29" s="87"/>
    </row>
    <row r="30" spans="1:9" ht="14.45" x14ac:dyDescent="0.3">
      <c r="A30" s="14" t="s">
        <v>213</v>
      </c>
      <c r="B30" s="14"/>
      <c r="C30" s="14"/>
      <c r="D30" s="87"/>
      <c r="E30" s="224">
        <f>IncomeStatements!E$8/AVERAGE(BalanceSheets!E$10,BalanceSheets!D$10)</f>
        <v>9.1620255673372313</v>
      </c>
      <c r="F30" s="224">
        <f>IncomeStatements!F$8/AVERAGE(BalanceSheets!F$10,BalanceSheets!E$10)</f>
        <v>10.068248992386923</v>
      </c>
      <c r="I30" s="223"/>
    </row>
    <row r="31" spans="1:9" ht="14.45" x14ac:dyDescent="0.3">
      <c r="A31" s="14" t="s">
        <v>155</v>
      </c>
      <c r="B31" s="14"/>
      <c r="C31" s="14"/>
      <c r="D31" s="67"/>
      <c r="E31" s="67">
        <f>AVERAGE(BalanceSheets!E$10,BalanceSheets!D$10)</f>
        <v>5045500000</v>
      </c>
      <c r="F31" s="67">
        <f>AVERAGE(BalanceSheets!F$10,BalanceSheets!E$10)</f>
        <v>5582500000</v>
      </c>
      <c r="I31" s="223"/>
    </row>
    <row r="32" spans="1:9" ht="14.45" x14ac:dyDescent="0.3">
      <c r="A32" s="14" t="s">
        <v>161</v>
      </c>
      <c r="B32" s="14"/>
      <c r="C32" s="14"/>
      <c r="D32" s="87"/>
      <c r="E32" s="225">
        <f>(E$31/IncomeStatements!E$8)*$D$3</f>
        <v>39.838352045341466</v>
      </c>
      <c r="F32" s="225">
        <f>(F$31/IncomeStatements!F$8)*$D$3</f>
        <v>36.252579795751345</v>
      </c>
      <c r="I32" s="223"/>
    </row>
    <row r="33" spans="1:9" ht="14.45" x14ac:dyDescent="0.3">
      <c r="A33" s="14" t="s">
        <v>157</v>
      </c>
      <c r="B33" s="14"/>
      <c r="C33" s="14"/>
      <c r="D33" s="87"/>
      <c r="E33" s="67">
        <f>AVERAGE(BalanceSheets!E$11,BalanceSheets!D$11)</f>
        <v>4634000000</v>
      </c>
      <c r="F33" s="67">
        <f>AVERAGE(BalanceSheets!F$11,BalanceSheets!E$11)</f>
        <v>5722000000</v>
      </c>
    </row>
    <row r="34" spans="1:9" ht="14.45" x14ac:dyDescent="0.3">
      <c r="A34" s="14" t="s">
        <v>214</v>
      </c>
      <c r="B34" s="14"/>
      <c r="C34" s="14"/>
      <c r="D34" s="87"/>
      <c r="E34" s="224">
        <f>IncomeStatements!E9/AVERAGE(BalanceSheets!E11,BalanceSheets!D11)</f>
        <v>7.0451014242555026</v>
      </c>
      <c r="F34" s="224">
        <f>IncomeStatements!F9/AVERAGE(BalanceSheets!F11,BalanceSheets!E11)</f>
        <v>6.3196434813002451</v>
      </c>
    </row>
    <row r="35" spans="1:9" ht="14.45" x14ac:dyDescent="0.3">
      <c r="A35" s="14" t="s">
        <v>158</v>
      </c>
      <c r="B35" s="14"/>
      <c r="C35" s="14"/>
      <c r="D35" s="87"/>
      <c r="E35" s="225">
        <f>(AVERAGE(BalanceSheets!E11,BalanceSheets!D11)/IncomeStatements!E9)*$D$3</f>
        <v>51.809048304591535</v>
      </c>
      <c r="F35" s="225">
        <f>(AVERAGE(BalanceSheets!F11,BalanceSheets!E11)/IncomeStatements!F9)*$D$3</f>
        <v>57.756422665302402</v>
      </c>
    </row>
    <row r="36" spans="1:9" ht="14.45" x14ac:dyDescent="0.3">
      <c r="A36" s="14" t="s">
        <v>215</v>
      </c>
      <c r="B36" s="14"/>
      <c r="C36" s="14"/>
      <c r="D36" s="87"/>
      <c r="E36" s="67">
        <f>AVERAGE(BalanceSheets!E$24,BalanceSheets!D$24)</f>
        <v>4833000000</v>
      </c>
      <c r="F36" s="67">
        <f>AVERAGE(BalanceSheets!F$24,BalanceSheets!E$24)</f>
        <v>6192500000</v>
      </c>
    </row>
    <row r="37" spans="1:9" ht="14.45" x14ac:dyDescent="0.3">
      <c r="A37" s="14" t="s">
        <v>216</v>
      </c>
      <c r="B37" s="14"/>
      <c r="C37" s="14"/>
      <c r="D37" s="87"/>
      <c r="E37" s="224">
        <f>IncomeStatements!E$9/AVERAGE(BalanceSheets!E$24,BalanceSheets!D$24)</f>
        <v>6.7550175874198217</v>
      </c>
      <c r="F37" s="224">
        <f>IncomeStatements!F$9/AVERAGE(BalanceSheets!F$24,BalanceSheets!E$24)</f>
        <v>5.8394832458619295</v>
      </c>
    </row>
    <row r="38" spans="1:9" ht="14.45" x14ac:dyDescent="0.3">
      <c r="A38" s="14" t="s">
        <v>159</v>
      </c>
      <c r="B38" s="14"/>
      <c r="C38" s="14"/>
      <c r="D38" s="87"/>
      <c r="E38" s="225">
        <f>(AVERAGE(BalanceSheets!E$24,BalanceSheets!D$24)/IncomeStatements!E$9)*$D$3</f>
        <v>54.033908169203904</v>
      </c>
      <c r="F38" s="225">
        <f>(AVERAGE(BalanceSheets!F$24,BalanceSheets!E$24)/IncomeStatements!F$9)*$D$3</f>
        <v>62.505530820497221</v>
      </c>
    </row>
    <row r="39" spans="1:9" ht="14.45" x14ac:dyDescent="0.3">
      <c r="A39" s="14" t="s">
        <v>160</v>
      </c>
      <c r="B39" s="14"/>
      <c r="C39" s="14"/>
      <c r="D39" s="87"/>
      <c r="E39" s="225">
        <f>E$35+E$32-E$38</f>
        <v>37.613492180729104</v>
      </c>
      <c r="F39" s="225">
        <f>F$35+F$32-F$38</f>
        <v>31.503471640556519</v>
      </c>
    </row>
    <row r="40" spans="1:9" x14ac:dyDescent="0.25">
      <c r="A40" s="14" t="s">
        <v>218</v>
      </c>
      <c r="B40" s="14"/>
      <c r="C40" s="14"/>
      <c r="D40" s="87"/>
      <c r="E40" s="87">
        <f>IncomeStatements!E$8/AVERAGE(BalanceSheets!E$20,BalanceSheets!D$20)</f>
        <v>1.5743282362156454</v>
      </c>
      <c r="F40" s="87">
        <f>IncomeStatements!F$8/AVERAGE(BalanceSheets!F$20,BalanceSheets!E$20)</f>
        <v>1.5076918950093214</v>
      </c>
    </row>
    <row r="41" spans="1:9" x14ac:dyDescent="0.25">
      <c r="A41" s="14" t="s">
        <v>248</v>
      </c>
      <c r="B41" s="14"/>
      <c r="C41" s="14"/>
      <c r="D41" s="87"/>
      <c r="E41" s="67">
        <f>AVERAGE(BalanceSheets!D$17:E$17)</f>
        <v>14685500000</v>
      </c>
      <c r="F41" s="67">
        <f>AVERAGE(BalanceSheets!E$17:F$17)</f>
        <v>17269000000</v>
      </c>
    </row>
    <row r="42" spans="1:9" x14ac:dyDescent="0.25">
      <c r="A42" s="14" t="s">
        <v>217</v>
      </c>
      <c r="B42" s="14"/>
      <c r="C42" s="14"/>
      <c r="D42" s="87"/>
      <c r="E42" s="87">
        <f>IncomeStatements!E$8/AVERAGE(BalanceSheets!E$17,BalanceSheets!D$17)</f>
        <v>3.1477988492049982</v>
      </c>
      <c r="F42" s="87">
        <f>IncomeStatements!F$8/AVERAGE(BalanceSheets!F$17,BalanceSheets!E$17)</f>
        <v>3.2547339162661415</v>
      </c>
    </row>
    <row r="43" spans="1:9" x14ac:dyDescent="0.25">
      <c r="A43" s="14" t="s">
        <v>170</v>
      </c>
      <c r="B43" s="14"/>
      <c r="C43" s="14"/>
      <c r="D43" s="87"/>
      <c r="E43" s="67">
        <f>AVERAGE(BalanceSheets!E$13,BalanceSheets!D$13)</f>
        <v>13244500000</v>
      </c>
      <c r="F43" s="67">
        <f>AVERAGE(BalanceSheets!F$13,BalanceSheets!E$13)</f>
        <v>18283000000</v>
      </c>
    </row>
    <row r="44" spans="1:9" x14ac:dyDescent="0.25">
      <c r="A44" s="14" t="s">
        <v>171</v>
      </c>
      <c r="B44" s="14"/>
      <c r="C44" s="14"/>
      <c r="D44" s="87"/>
      <c r="E44" s="67">
        <f>AVERAGE((BalanceSheets!E$28-BalanceSheets!E$25),(BalanceSheets!D$28-BalanceSheets!D$25))</f>
        <v>7043000000</v>
      </c>
      <c r="F44" s="67">
        <f>AVERAGE((BalanceSheets!F$28-BalanceSheets!F$25),(BalanceSheets!E$28-BalanceSheets!E$25))</f>
        <v>8725500000</v>
      </c>
    </row>
    <row r="45" spans="1:9" x14ac:dyDescent="0.25">
      <c r="A45" s="14" t="s">
        <v>240</v>
      </c>
      <c r="B45" s="14"/>
      <c r="C45" s="14"/>
      <c r="D45" s="87"/>
      <c r="E45" s="87">
        <f>IncomeStatements!E$8/(E$43-E$44)</f>
        <v>7.4541643150850598</v>
      </c>
      <c r="F45" s="87">
        <f>IncomeStatements!F$8/(F$43-F$44)</f>
        <v>5.8808265759874443</v>
      </c>
    </row>
    <row r="46" spans="1:9" x14ac:dyDescent="0.25">
      <c r="A46" s="88" t="s">
        <v>172</v>
      </c>
      <c r="B46" s="88"/>
      <c r="C46" s="88"/>
      <c r="D46" s="87"/>
      <c r="E46" s="87"/>
      <c r="F46" s="87"/>
      <c r="I46" s="223"/>
    </row>
    <row r="47" spans="1:9" x14ac:dyDescent="0.25">
      <c r="A47" s="14" t="s">
        <v>72</v>
      </c>
      <c r="B47" s="14"/>
      <c r="C47" s="14"/>
      <c r="D47" s="226">
        <f>(IncomeStatements!D$8-IncomeStatements!D$9)/IncomeStatements!D$8</f>
        <v>0.3562921381686418</v>
      </c>
      <c r="E47" s="226">
        <f>(IncomeStatements!E$8-IncomeStatements!E$9)/IncomeStatements!E$8</f>
        <v>0.29376771151058906</v>
      </c>
      <c r="F47" s="226">
        <f>(IncomeStatements!F$8-IncomeStatements!F$9)/IncomeStatements!F$8</f>
        <v>0.35663452300466142</v>
      </c>
    </row>
    <row r="48" spans="1:9" x14ac:dyDescent="0.25">
      <c r="A48" s="14" t="s">
        <v>173</v>
      </c>
      <c r="B48" s="14"/>
      <c r="C48" s="14"/>
      <c r="D48" s="226">
        <f>IncomeStatements!D$12/IncomeStatements!D$8</f>
        <v>0.1388814636609344</v>
      </c>
      <c r="E48" s="226">
        <f>IncomeStatements!E$12/IncomeStatements!E$8</f>
        <v>8.0753672096393878E-2</v>
      </c>
      <c r="F48" s="226">
        <f>IncomeStatements!F$12/IncomeStatements!F$8</f>
        <v>0.11299505390883535</v>
      </c>
    </row>
    <row r="49" spans="1:9" x14ac:dyDescent="0.25">
      <c r="A49" s="14" t="s">
        <v>174</v>
      </c>
      <c r="B49" s="14"/>
      <c r="C49" s="14"/>
      <c r="D49" s="226">
        <f>IncomeStatements!D14/IncomeStatements!D8</f>
        <v>0.11304167037928065</v>
      </c>
      <c r="E49" s="226">
        <f>IncomeStatements!E14/IncomeStatements!E8</f>
        <v>5.4643390226491013E-2</v>
      </c>
      <c r="F49" s="226">
        <f>IncomeStatements!F14/IncomeStatements!F8</f>
        <v>8.6129594705191617E-2</v>
      </c>
    </row>
    <row r="50" spans="1:9" x14ac:dyDescent="0.25">
      <c r="A50" s="14" t="s">
        <v>243</v>
      </c>
      <c r="D50" s="226">
        <f>IncomeStatements!D$17/IncomeStatements!D$16</f>
        <v>0.29990856446205427</v>
      </c>
      <c r="E50" s="226">
        <f>IncomeStatements!E$17/IncomeStatements!E$16</f>
        <v>0.30026109660574413</v>
      </c>
      <c r="F50" s="226">
        <f>IncomeStatements!F$17/IncomeStatements!F$16</f>
        <v>0.29997594419052204</v>
      </c>
    </row>
    <row r="51" spans="1:9" x14ac:dyDescent="0.25">
      <c r="A51" s="14" t="s">
        <v>175</v>
      </c>
      <c r="B51" s="14"/>
      <c r="C51" s="14"/>
      <c r="D51" s="226">
        <f>IncomeStatements!D16/IncomeStatements!D8</f>
        <v>9.7448691674834415E-2</v>
      </c>
      <c r="E51" s="226">
        <f>IncomeStatements!E16/IncomeStatements!E8</f>
        <v>4.1426006446449046E-2</v>
      </c>
      <c r="F51" s="226">
        <f>IncomeStatements!F16/IncomeStatements!F8</f>
        <v>7.3960075436786107E-2</v>
      </c>
    </row>
    <row r="52" spans="1:9" x14ac:dyDescent="0.25">
      <c r="A52" s="14" t="s">
        <v>176</v>
      </c>
      <c r="B52" s="14"/>
      <c r="C52" s="14"/>
      <c r="D52" s="226">
        <f>IncomeStatements!D18/IncomeStatements!D8</f>
        <v>6.8222994445929497E-2</v>
      </c>
      <c r="E52" s="226">
        <f>IncomeStatements!E18/IncomeStatements!E8</f>
        <v>2.8987388322841628E-2</v>
      </c>
      <c r="F52" s="226">
        <f>IncomeStatements!F18/IncomeStatements!F8</f>
        <v>5.1773831975233962E-2</v>
      </c>
      <c r="I52" s="223"/>
    </row>
    <row r="53" spans="1:9" x14ac:dyDescent="0.25">
      <c r="A53" s="14" t="s">
        <v>219</v>
      </c>
      <c r="B53" s="14"/>
      <c r="C53" s="14"/>
      <c r="D53" s="117"/>
      <c r="E53" s="226">
        <f>IncomeStatements!E$18/AVERAGE(BalanceSheets!E$20,BalanceSheets!D20)</f>
        <v>4.5635663930797259E-2</v>
      </c>
      <c r="F53" s="226">
        <f>IncomeStatements!F$18/AVERAGE(BalanceSheets!F$20,BalanceSheets!E20)</f>
        <v>7.8058986842634695E-2</v>
      </c>
      <c r="I53" s="223"/>
    </row>
    <row r="54" spans="1:9" x14ac:dyDescent="0.25">
      <c r="A54" s="14" t="s">
        <v>220</v>
      </c>
      <c r="B54" s="14"/>
      <c r="C54" s="14"/>
      <c r="D54" s="117"/>
      <c r="E54" s="226">
        <f>IncomeStatements!E$18/AVERAGE(BalanceSheets!E$39,BalanceSheets!D39)</f>
        <v>0.14819730148197302</v>
      </c>
      <c r="F54" s="226">
        <f>IncomeStatements!F$18/AVERAGE(BalanceSheets!F$39,BalanceSheets!E39)</f>
        <v>0.26655674635888982</v>
      </c>
    </row>
    <row r="55" spans="1:9" x14ac:dyDescent="0.25">
      <c r="A55" s="14" t="s">
        <v>221</v>
      </c>
      <c r="B55" s="14"/>
      <c r="C55" s="14"/>
      <c r="D55" s="87"/>
      <c r="E55" s="87">
        <f>IncomeStatements!E$8/AVERAGE(BalanceSheets!E$20,BalanceSheets!D20)</f>
        <v>1.5743282362156454</v>
      </c>
      <c r="F55" s="87">
        <f>IncomeStatements!F$8/AVERAGE(BalanceSheets!F$20,BalanceSheets!E20)</f>
        <v>1.5076918950093214</v>
      </c>
    </row>
    <row r="56" spans="1:9" x14ac:dyDescent="0.25">
      <c r="A56" s="14" t="s">
        <v>223</v>
      </c>
      <c r="B56" s="14"/>
      <c r="C56" s="14"/>
      <c r="D56" s="87"/>
      <c r="E56" s="87">
        <f>AVERAGE(BalanceSheets!D20,BalanceSheets!E$20)/AVERAGE(BalanceSheets!D39,BalanceSheets!E$39)</f>
        <v>3.2474010174740102</v>
      </c>
      <c r="F56" s="87">
        <f>AVERAGE(BalanceSheets!E20,BalanceSheets!F$20)/AVERAGE(BalanceSheets!E39,BalanceSheets!F$39)</f>
        <v>3.4148117614729321</v>
      </c>
    </row>
    <row r="57" spans="1:9" x14ac:dyDescent="0.25">
      <c r="A57" s="14" t="s">
        <v>222</v>
      </c>
      <c r="B57" s="14"/>
      <c r="C57" s="14"/>
      <c r="D57" s="87"/>
      <c r="E57" s="117">
        <f t="shared" ref="E57" si="0">E$52*E$55*E$56</f>
        <v>0.14819730148197299</v>
      </c>
      <c r="F57" s="117">
        <f>F$52*F$55*F$56</f>
        <v>0.26655674635888982</v>
      </c>
    </row>
    <row r="58" spans="1:9" x14ac:dyDescent="0.25">
      <c r="A58" s="14" t="s">
        <v>241</v>
      </c>
      <c r="B58" s="14"/>
      <c r="C58" s="14"/>
      <c r="D58" s="87"/>
      <c r="E58" s="117">
        <f>IncomeStatements!E$14/(BalanceSheets!E$20-BalanceSheets!E$28)</f>
        <v>0.10624158815612382</v>
      </c>
      <c r="F58" s="117">
        <f>IncomeStatements!F$14/(BalanceSheets!F$20-BalanceSheets!F$28)</f>
        <v>0.15266477451907914</v>
      </c>
      <c r="G58" s="181"/>
    </row>
    <row r="59" spans="1:9" x14ac:dyDescent="0.25">
      <c r="A59" s="14" t="s">
        <v>177</v>
      </c>
      <c r="B59" s="14"/>
      <c r="C59" s="14"/>
      <c r="D59" s="236">
        <f>IncomeStatements!D$18/IncomeStatements!D$20</f>
        <v>2.2970000000000002</v>
      </c>
      <c r="E59" s="236">
        <f>IncomeStatements!E$18/IncomeStatements!E$20</f>
        <v>1.34</v>
      </c>
      <c r="F59" s="236">
        <f>IncomeStatements!F$18/IncomeStatements!F$20</f>
        <v>2.91</v>
      </c>
      <c r="G59" s="181"/>
      <c r="I59" s="223"/>
    </row>
    <row r="60" spans="1:9" x14ac:dyDescent="0.25">
      <c r="A60" s="14" t="s">
        <v>224</v>
      </c>
      <c r="B60" s="14"/>
      <c r="C60" s="14"/>
      <c r="D60" s="237">
        <f>IncomeStatements!D$14*(1-IncomeStatements!D17/IncomeStatements!D16)</f>
        <v>2664548003.6574216</v>
      </c>
      <c r="E60" s="237">
        <f>IncomeStatements!E$14*(1-IncomeStatements!E17/IncomeStatements!E16)</f>
        <v>1767540469.9738903</v>
      </c>
      <c r="F60" s="237">
        <f>IncomeStatements!F$14*(1-IncomeStatements!F17/IncomeStatements!F16)</f>
        <v>3388816454.1736827</v>
      </c>
      <c r="G60" s="181"/>
      <c r="I60" s="223"/>
    </row>
    <row r="61" spans="1:9" x14ac:dyDescent="0.25">
      <c r="A61" s="14" t="s">
        <v>232</v>
      </c>
      <c r="B61" s="14"/>
      <c r="C61" s="14"/>
      <c r="D61" s="237">
        <f>BalanceSheets!D32+BalanceSheets!D25+BalanceSheets!D39</f>
        <v>18543000000</v>
      </c>
      <c r="E61" s="237">
        <f>BalanceSheets!E$32+BalanceSheets!E$25+BalanceSheets!E$39</f>
        <v>22796000000</v>
      </c>
      <c r="F61" s="237">
        <f>BalanceSheets!F$32+BalanceSheets!F$25+BalanceSheets!F$39</f>
        <v>29904000000</v>
      </c>
      <c r="G61" s="237"/>
      <c r="I61" s="223"/>
    </row>
    <row r="62" spans="1:9" x14ac:dyDescent="0.25">
      <c r="A62" s="14" t="s">
        <v>242</v>
      </c>
      <c r="B62" s="14"/>
      <c r="C62" s="14"/>
      <c r="D62" s="237"/>
      <c r="E62" s="292">
        <f t="array" ref="E62">(AVERAGE(BalanceSheets!D25:E25+BalanceSheets!D32:E32+BalanceSheets!D39:E39))</f>
        <v>20669500000</v>
      </c>
      <c r="F62" s="292">
        <f t="array" ref="F62">(AVERAGE(BalanceSheets!E25:F25+BalanceSheets!E32:F32+BalanceSheets!E39:F39))</f>
        <v>26350000000</v>
      </c>
      <c r="G62" s="67"/>
      <c r="I62" s="223"/>
    </row>
    <row r="63" spans="1:9" ht="30" x14ac:dyDescent="0.25">
      <c r="A63" s="118" t="s">
        <v>246</v>
      </c>
      <c r="B63" s="14"/>
      <c r="C63" s="14"/>
      <c r="D63" s="67"/>
      <c r="E63" s="67">
        <f>HistoricalRatios!E$60-(E62*E$4)</f>
        <v>-299409530.0261097</v>
      </c>
      <c r="F63" s="67">
        <f>HistoricalRatios!F$60-(F62*F$4)</f>
        <v>753816454.17368269</v>
      </c>
      <c r="I63" s="223"/>
    </row>
    <row r="64" spans="1:9" x14ac:dyDescent="0.25">
      <c r="A64" s="14" t="s">
        <v>231</v>
      </c>
      <c r="B64" s="14"/>
      <c r="C64" s="14"/>
      <c r="D64" s="67"/>
      <c r="E64" s="67">
        <f>E61-D61</f>
        <v>4253000000</v>
      </c>
      <c r="F64" s="67">
        <f>F61-E61</f>
        <v>7108000000</v>
      </c>
      <c r="I64" s="223"/>
    </row>
    <row r="65" spans="1:9" x14ac:dyDescent="0.25">
      <c r="A65" s="14" t="s">
        <v>228</v>
      </c>
      <c r="B65" s="14"/>
      <c r="C65" s="14"/>
      <c r="D65" s="67"/>
      <c r="E65" s="67">
        <f>CashFlows!E20+(IncomeStatements!E15*(1-'Financial Statement Inputs'!$C$72)+CashFlows!E23)</f>
        <v>74700000</v>
      </c>
      <c r="F65" s="67">
        <f>CashFlows!F20+(IncomeStatements!F15*(1-'Financial Statement Inputs'!$C$72)+CashFlows!F23)</f>
        <v>-672200000</v>
      </c>
      <c r="I65" s="223"/>
    </row>
    <row r="66" spans="1:9" x14ac:dyDescent="0.25">
      <c r="A66" s="14" t="s">
        <v>247</v>
      </c>
      <c r="B66" s="14"/>
      <c r="C66" s="14"/>
      <c r="D66" s="67"/>
      <c r="E66" s="67">
        <f>IncomeStatements!E$18-(-CashFlows!E$23)-((BalanceSheets!E$13-BalanceSheets!E$28)-(BalanceSheets!D$13-BalanceSheets!D$28))+CashFlows!E$30</f>
        <v>-1093000000</v>
      </c>
      <c r="F66" s="67">
        <f>IncomeStatements!F$18-(-CashFlows!F$23)-((BalanceSheets!F$13-BalanceSheets!F$28)-(BalanceSheets!E$13-BalanceSheets!E$28))+CashFlows!F$30</f>
        <v>-1915000000</v>
      </c>
    </row>
    <row r="67" spans="1:9" x14ac:dyDescent="0.25">
      <c r="A67" s="88" t="s">
        <v>178</v>
      </c>
      <c r="B67" s="88"/>
      <c r="C67" s="88"/>
      <c r="D67" s="87"/>
      <c r="E67" s="87"/>
      <c r="F67" s="67"/>
    </row>
    <row r="68" spans="1:9" x14ac:dyDescent="0.25">
      <c r="A68" s="14" t="s">
        <v>179</v>
      </c>
      <c r="B68" s="14"/>
      <c r="C68" s="14"/>
      <c r="D68" s="87"/>
      <c r="E68" s="89">
        <f>(ABS('Financial Statement Inputs'!E68)/IncomeStatements!E20)/HistoricalRatios!E$5</f>
        <v>5.0000000000000001E-3</v>
      </c>
      <c r="F68" s="89">
        <f>(ABS('Financial Statement Inputs'!F68)/IncomeStatements!F20)/HistoricalRatios!F$5</f>
        <v>5.0000000000000001E-3</v>
      </c>
    </row>
    <row r="69" spans="1:9" x14ac:dyDescent="0.25">
      <c r="A69" s="14" t="s">
        <v>180</v>
      </c>
      <c r="B69" s="14"/>
      <c r="C69" s="14"/>
      <c r="D69" s="87"/>
      <c r="E69" s="89">
        <f>IncomeStatements!E$21/E$5</f>
        <v>2.6800000000000001E-2</v>
      </c>
      <c r="F69" s="89">
        <f>IncomeStatements!F$21/F$5</f>
        <v>5.8200000000000002E-2</v>
      </c>
    </row>
    <row r="70" spans="1:9" x14ac:dyDescent="0.25">
      <c r="A70" s="14" t="s">
        <v>181</v>
      </c>
      <c r="B70" s="14"/>
      <c r="C70" s="14"/>
      <c r="D70" s="87"/>
      <c r="E70" s="225">
        <f>E$5/IncomeStatements!E$21</f>
        <v>37.31343283582089</v>
      </c>
      <c r="F70" s="225">
        <f>F$5/IncomeStatements!F$21</f>
        <v>17.182130584192439</v>
      </c>
      <c r="I70" s="223"/>
    </row>
    <row r="71" spans="1:9" x14ac:dyDescent="0.25">
      <c r="A71" s="14" t="s">
        <v>182</v>
      </c>
      <c r="B71" s="14"/>
      <c r="C71" s="14"/>
      <c r="D71" s="87">
        <f>D5/((BalanceSheets!D$20-BalanceSheets!D$34)/IncomeStatements!D$20)</f>
        <v>5.8844297987525014</v>
      </c>
      <c r="E71" s="87">
        <f>E5/((BalanceSheets!E$20-BalanceSheets!E$34)/IncomeStatements!E$20)</f>
        <v>5.2153958485449046</v>
      </c>
      <c r="F71" s="87">
        <f>F5/((BalanceSheets!F$20-BalanceSheets!F$34)/IncomeStatements!F$20)</f>
        <v>4.0826324814240227</v>
      </c>
      <c r="I71" s="223"/>
    </row>
    <row r="72" spans="1:9" x14ac:dyDescent="0.25">
      <c r="A72" s="14" t="s">
        <v>183</v>
      </c>
      <c r="B72" s="14"/>
      <c r="C72" s="14"/>
      <c r="D72" s="87">
        <f>D5/(BalanceSheets!D$39/IncomeStatements!D$20)</f>
        <v>5.8844297987525014</v>
      </c>
      <c r="E72" s="87">
        <f>E5/(BalanceSheets!E$39/IncomeStatements!E$20)</f>
        <v>5.2153958485449046</v>
      </c>
      <c r="F72" s="87">
        <f>F5/(BalanceSheets!F$39/IncomeStatements!F$20)</f>
        <v>4.0826324814240227</v>
      </c>
      <c r="I72" s="223"/>
    </row>
    <row r="73" spans="1:9" x14ac:dyDescent="0.25">
      <c r="A73" s="14" t="s">
        <v>184</v>
      </c>
      <c r="B73" s="14"/>
      <c r="C73" s="14"/>
      <c r="D73" s="87">
        <f>D5/(IncomeStatements!D$8/IncomeStatements!D$20)</f>
        <v>1.4850455908996407</v>
      </c>
      <c r="E73" s="87">
        <f>E5/(IncomeStatements!E$8/IncomeStatements!E$20)</f>
        <v>1.0816189672702101</v>
      </c>
      <c r="F73" s="87">
        <f>F5/(IncomeStatements!F$8/IncomeStatements!F$20)</f>
        <v>0.88958474184250791</v>
      </c>
    </row>
    <row r="74" spans="1:9" x14ac:dyDescent="0.25">
      <c r="A74" s="14" t="s">
        <v>185</v>
      </c>
      <c r="B74" s="14"/>
      <c r="C74" s="14"/>
      <c r="D74" s="87"/>
      <c r="E74" s="87">
        <f>E5/(CashFlows!E20/IncomeStatements!E20)</f>
        <v>18.705574261129815</v>
      </c>
      <c r="F74" s="87">
        <f>F5/(CashFlows!F20/IncomeStatements!F20)</f>
        <v>13.487995683841381</v>
      </c>
    </row>
    <row r="75" spans="1:9" x14ac:dyDescent="0.25">
      <c r="A75" s="14" t="s">
        <v>186</v>
      </c>
      <c r="B75" s="14"/>
      <c r="C75" s="14"/>
      <c r="D75" s="87">
        <f>F$5/(IncomeStatements!D$12/IncomeStatements!D$20)</f>
        <v>10.692899914456801</v>
      </c>
      <c r="E75" s="87">
        <f>E$5/(IncomeStatements!E$12/IncomeStatements!E$20)</f>
        <v>13.394053040450039</v>
      </c>
      <c r="F75" s="87">
        <f>D$5/(IncomeStatements!F$12/IncomeStatements!F$20)</f>
        <v>7.8727759407967248</v>
      </c>
    </row>
    <row r="76" spans="1:9" x14ac:dyDescent="0.25">
      <c r="A76" s="88"/>
    </row>
  </sheetData>
  <pageMargins left="0.25" right="0.25" top="0.75" bottom="0.75" header="0.3" footer="0.3"/>
  <pageSetup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Z37"/>
  <sheetViews>
    <sheetView showGridLines="0" workbookViewId="0">
      <pane ySplit="4" topLeftCell="A5" activePane="bottomLeft" state="frozen"/>
      <selection pane="bottomLeft" activeCell="F28" sqref="F28"/>
    </sheetView>
  </sheetViews>
  <sheetFormatPr defaultColWidth="9.140625" defaultRowHeight="15" x14ac:dyDescent="0.25"/>
  <cols>
    <col min="1" max="1" width="35.42578125" style="1" customWidth="1"/>
    <col min="2" max="2" width="9.7109375" style="1" customWidth="1"/>
    <col min="3" max="3" width="1.42578125" style="1" customWidth="1"/>
    <col min="4" max="4" width="7.140625" style="1" customWidth="1"/>
    <col min="5" max="8" width="9.7109375" style="1" customWidth="1"/>
    <col min="9" max="9" width="10.140625" style="1" bestFit="1" customWidth="1"/>
    <col min="10" max="10" width="9.140625" style="1"/>
    <col min="11" max="11" width="28.7109375" style="1" customWidth="1"/>
    <col min="12" max="12" width="11.140625" style="1" bestFit="1" customWidth="1"/>
    <col min="13" max="16384" width="9.140625" style="1"/>
  </cols>
  <sheetData>
    <row r="1" spans="1:15" ht="15.6" x14ac:dyDescent="0.3">
      <c r="A1" s="13"/>
      <c r="G1" s="39" t="s">
        <v>120</v>
      </c>
      <c r="I1" s="64">
        <f>+ProjectedIncomeStatement!$G$7</f>
        <v>2014</v>
      </c>
    </row>
    <row r="2" spans="1:15" ht="22.9" x14ac:dyDescent="0.4">
      <c r="A2" s="332" t="s">
        <v>69</v>
      </c>
      <c r="B2" s="332"/>
      <c r="C2" s="332"/>
      <c r="D2" s="332"/>
      <c r="E2" s="332"/>
      <c r="F2" s="332"/>
      <c r="G2" s="34" t="s">
        <v>115</v>
      </c>
      <c r="I2" s="43" t="str">
        <f>ProjectedBalanceSheet!G43</f>
        <v>OK</v>
      </c>
    </row>
    <row r="3" spans="1:15" ht="13.9" x14ac:dyDescent="0.25">
      <c r="A3" s="333" t="s">
        <v>208</v>
      </c>
      <c r="B3" s="333"/>
      <c r="G3" s="34" t="s">
        <v>117</v>
      </c>
      <c r="I3" s="43" t="str">
        <f>+ProjectedCashFlows!G41</f>
        <v>OK</v>
      </c>
    </row>
    <row r="4" spans="1:15" ht="13.9" x14ac:dyDescent="0.25">
      <c r="G4" s="65" t="s">
        <v>116</v>
      </c>
      <c r="I4" s="66" t="str">
        <f>IF(ProjectedIncomeStatement!$G$18=(ProjectedBalanceSheet!I38-ProjectedCashFlows!G31),"OK","Error")</f>
        <v>OK</v>
      </c>
    </row>
    <row r="5" spans="1:15" ht="13.9" x14ac:dyDescent="0.25">
      <c r="B5" s="13" t="s">
        <v>61</v>
      </c>
      <c r="C5" s="13"/>
      <c r="D5" s="331" t="s">
        <v>201</v>
      </c>
      <c r="E5" s="331"/>
      <c r="F5" s="331"/>
    </row>
    <row r="6" spans="1:15" ht="14.45" thickBot="1" x14ac:dyDescent="0.3">
      <c r="A6" s="13" t="s">
        <v>57</v>
      </c>
      <c r="B6" s="172">
        <v>2014</v>
      </c>
      <c r="D6" s="172">
        <v>2011</v>
      </c>
      <c r="E6" s="172">
        <v>2012</v>
      </c>
      <c r="F6" s="172">
        <v>2013</v>
      </c>
    </row>
    <row r="7" spans="1:15" ht="14.45" x14ac:dyDescent="0.3">
      <c r="A7" s="1" t="s">
        <v>59</v>
      </c>
      <c r="B7" s="284">
        <v>0.216</v>
      </c>
      <c r="D7" s="174" t="s">
        <v>81</v>
      </c>
      <c r="E7" s="175">
        <f>(IncomeStatements!E8-IncomeStatements!D8)/IncomeStatements!D8</f>
        <v>0.37298405061035372</v>
      </c>
      <c r="F7" s="177">
        <f>(IncomeStatements!F8-IncomeStatements!E8)/IncomeStatements!E8</f>
        <v>0.21586951348778852</v>
      </c>
    </row>
    <row r="8" spans="1:15" ht="14.45" x14ac:dyDescent="0.3">
      <c r="A8" s="1" t="s">
        <v>195</v>
      </c>
      <c r="B8" s="284">
        <f>+F8</f>
        <v>0.35663452300466142</v>
      </c>
      <c r="D8" s="176">
        <f>IncomeStatements!D$10/IncomeStatements!D$8</f>
        <v>0.3562921381686418</v>
      </c>
      <c r="E8" s="176">
        <f>IncomeStatements!E$10/IncomeStatements!E$8</f>
        <v>0.29376771151058906</v>
      </c>
      <c r="F8" s="178">
        <f>IncomeStatements!F$10/IncomeStatements!F$8</f>
        <v>0.35663452300466142</v>
      </c>
    </row>
    <row r="9" spans="1:15" ht="14.45" x14ac:dyDescent="0.3">
      <c r="A9" s="1" t="s">
        <v>196</v>
      </c>
      <c r="B9" s="284">
        <v>0.24399999999999999</v>
      </c>
      <c r="D9" s="176">
        <f>IncomeStatements!D$11/IncomeStatements!D$8</f>
        <v>0.21741067450770737</v>
      </c>
      <c r="E9" s="176">
        <f>IncomeStatements!E$11/IncomeStatements!E$8</f>
        <v>0.21301403941419517</v>
      </c>
      <c r="F9" s="178">
        <f>IncomeStatements!F$11/IncomeStatements!F$8</f>
        <v>0.24363946909582607</v>
      </c>
    </row>
    <row r="10" spans="1:15" ht="14.45" x14ac:dyDescent="0.3">
      <c r="A10" s="1" t="s">
        <v>197</v>
      </c>
      <c r="B10" s="284">
        <f>+F10</f>
        <v>6.9050667642216942E-2</v>
      </c>
      <c r="D10" s="176"/>
      <c r="E10" s="176">
        <f>IncomeStatements!E13/BalanceSheets!D15</f>
        <v>6.4059017089480946E-2</v>
      </c>
      <c r="F10" s="178">
        <f>IncomeStatements!F13/BalanceSheets!E15</f>
        <v>6.9050667642216942E-2</v>
      </c>
      <c r="K10"/>
      <c r="L10"/>
      <c r="M10"/>
      <c r="N10"/>
      <c r="O10"/>
    </row>
    <row r="11" spans="1:15" ht="14.45" x14ac:dyDescent="0.3">
      <c r="A11" s="3" t="s">
        <v>60</v>
      </c>
      <c r="B11" s="284">
        <v>5.1782875312287077E-2</v>
      </c>
      <c r="D11" s="176"/>
      <c r="E11" s="176">
        <f>IncomeStatements!E15/(BalanceSheets!D32+BalanceSheets!D25)</f>
        <v>6.0820226956002386E-2</v>
      </c>
      <c r="F11" s="178">
        <f>IncomeStatements!F15/(BalanceSheets!E32+BalanceSheets!E25)</f>
        <v>5.1782875312287077E-2</v>
      </c>
      <c r="K11"/>
      <c r="L11"/>
      <c r="M11"/>
      <c r="N11"/>
      <c r="O11"/>
    </row>
    <row r="12" spans="1:15" ht="14.45" x14ac:dyDescent="0.3">
      <c r="A12" s="1" t="s">
        <v>200</v>
      </c>
      <c r="B12" s="281">
        <v>0.3</v>
      </c>
      <c r="D12" s="176">
        <f>IncomeStatements!D$17/IncomeStatements!D$16</f>
        <v>0.29990856446205427</v>
      </c>
      <c r="E12" s="176">
        <f>IncomeStatements!E$17/IncomeStatements!E$16</f>
        <v>0.30026109660574413</v>
      </c>
      <c r="F12" s="178">
        <f>IncomeStatements!F$17/IncomeStatements!F$16</f>
        <v>0.29997594419052204</v>
      </c>
      <c r="K12"/>
      <c r="L12"/>
      <c r="M12"/>
      <c r="N12"/>
      <c r="O12"/>
    </row>
    <row r="13" spans="1:15" ht="1.9" customHeight="1" x14ac:dyDescent="0.3">
      <c r="B13"/>
      <c r="D13" s="8"/>
      <c r="E13" s="8"/>
      <c r="F13" s="173"/>
      <c r="K13" t="s">
        <v>212</v>
      </c>
      <c r="L13"/>
      <c r="M13"/>
      <c r="N13"/>
      <c r="O13"/>
    </row>
    <row r="14" spans="1:15" ht="2.4500000000000002" customHeight="1" x14ac:dyDescent="0.3">
      <c r="D14" s="62"/>
      <c r="G14" s="58"/>
      <c r="K14"/>
      <c r="L14"/>
      <c r="M14"/>
      <c r="N14"/>
      <c r="O14"/>
    </row>
    <row r="15" spans="1:15" thickBot="1" x14ac:dyDescent="0.35">
      <c r="A15" s="13" t="s">
        <v>87</v>
      </c>
      <c r="B15" s="172">
        <v>2014</v>
      </c>
      <c r="D15" s="172">
        <v>2011</v>
      </c>
      <c r="E15" s="172">
        <v>2012</v>
      </c>
      <c r="F15" s="172">
        <v>2013</v>
      </c>
      <c r="G15" s="58"/>
      <c r="K15"/>
      <c r="L15"/>
      <c r="M15"/>
      <c r="N15"/>
      <c r="O15"/>
    </row>
    <row r="16" spans="1:15" ht="14.45" x14ac:dyDescent="0.3">
      <c r="A16" s="1" t="s">
        <v>202</v>
      </c>
      <c r="B16" s="285">
        <f>F16</f>
        <v>10.068248992386923</v>
      </c>
      <c r="D16" s="8"/>
      <c r="E16" s="228">
        <f>IncomeStatements!E$8/((BalanceSheets!E$10+BalanceSheets!D$10)/2)</f>
        <v>9.1620255673372313</v>
      </c>
      <c r="F16" s="228">
        <f>IncomeStatements!F$8/((BalanceSheets!F$10+BalanceSheets!E$10)/2)</f>
        <v>10.068248992386923</v>
      </c>
      <c r="G16" s="8"/>
      <c r="K16"/>
      <c r="L16"/>
      <c r="M16"/>
      <c r="N16"/>
      <c r="O16"/>
    </row>
    <row r="17" spans="1:26" ht="14.45" x14ac:dyDescent="0.3">
      <c r="A17" s="1" t="s">
        <v>203</v>
      </c>
      <c r="B17" s="285">
        <f>F17</f>
        <v>6.3196434813002451</v>
      </c>
      <c r="D17" s="8"/>
      <c r="E17" s="228">
        <f>IncomeStatements!E$9/((BalanceSheets!E$11+BalanceSheets!D$11)/2)</f>
        <v>7.0451014242555026</v>
      </c>
      <c r="F17" s="228">
        <f>IncomeStatements!F$9/((BalanceSheets!F$11+BalanceSheets!E$11)/2)</f>
        <v>6.3196434813002451</v>
      </c>
      <c r="G17" s="8"/>
    </row>
    <row r="18" spans="1:26" ht="14.45" x14ac:dyDescent="0.3">
      <c r="A18" s="1" t="s">
        <v>18</v>
      </c>
      <c r="B18" s="275">
        <f>+F18</f>
        <v>1468000000</v>
      </c>
      <c r="D18" s="8"/>
      <c r="E18" s="4">
        <f>BalanceSheets!E12</f>
        <v>2167000000</v>
      </c>
      <c r="F18" s="4">
        <f>BalanceSheets!F12</f>
        <v>1468000000</v>
      </c>
      <c r="G18" s="8"/>
      <c r="K18" s="102"/>
      <c r="L18" s="68"/>
      <c r="M18" s="68"/>
      <c r="N18" s="68"/>
    </row>
    <row r="19" spans="1:26" ht="13.9" customHeight="1" x14ac:dyDescent="0.3">
      <c r="A19" s="1" t="s">
        <v>249</v>
      </c>
      <c r="B19" s="284">
        <f>+F19</f>
        <v>8.6432053517418075E-2</v>
      </c>
      <c r="D19" s="8"/>
      <c r="E19" s="178">
        <f>(BalanceSheets!E15-BalanceSheets!D15)/IncomeStatements!E8</f>
        <v>6.5459579899193113E-2</v>
      </c>
      <c r="F19" s="178">
        <f>(BalanceSheets!F15-BalanceSheets!E15)/IncomeStatements!F8</f>
        <v>8.6432053517418075E-2</v>
      </c>
      <c r="G19" s="8"/>
      <c r="H19" s="227"/>
      <c r="K19"/>
      <c r="L19"/>
      <c r="M19"/>
      <c r="N19"/>
      <c r="O19"/>
      <c r="P19"/>
    </row>
    <row r="20" spans="1:26" ht="0.6" hidden="1" customHeight="1" x14ac:dyDescent="0.3">
      <c r="A20"/>
      <c r="B20" s="286"/>
      <c r="C20"/>
      <c r="D20"/>
      <c r="E20"/>
      <c r="F20"/>
      <c r="G20" s="8"/>
      <c r="H20" s="227"/>
      <c r="K20"/>
      <c r="L20"/>
      <c r="M20"/>
      <c r="N20"/>
      <c r="O20"/>
      <c r="P20"/>
      <c r="Q20" s="14"/>
      <c r="R20" s="14"/>
    </row>
    <row r="21" spans="1:26" ht="14.45" x14ac:dyDescent="0.3">
      <c r="A21" s="1" t="s">
        <v>66</v>
      </c>
      <c r="B21" s="275">
        <f t="shared" ref="B21:B28" si="0">+F21</f>
        <v>1813000000</v>
      </c>
      <c r="D21" s="8"/>
      <c r="E21" s="4">
        <f>BalanceSheets!E19</f>
        <v>1642000000</v>
      </c>
      <c r="F21" s="4">
        <f>BalanceSheets!F19</f>
        <v>1813000000</v>
      </c>
      <c r="G21" s="8"/>
      <c r="K21"/>
      <c r="L21"/>
      <c r="M21"/>
      <c r="N21"/>
      <c r="O21"/>
      <c r="P21"/>
      <c r="Q21" s="14"/>
      <c r="R21" s="14"/>
    </row>
    <row r="22" spans="1:26" ht="14.45" x14ac:dyDescent="0.3">
      <c r="A22" s="1" t="s">
        <v>204</v>
      </c>
      <c r="B22" s="285">
        <f>F22</f>
        <v>5.8394832458619295</v>
      </c>
      <c r="D22" s="8"/>
      <c r="E22" s="228">
        <f>IncomeStatements!E$9/((BalanceSheets!E$24+BalanceSheets!D$24)/2)</f>
        <v>6.7550175874198217</v>
      </c>
      <c r="F22" s="228">
        <f>IncomeStatements!F$9/(AVERAGE(BalanceSheets!F$24:'BalanceSheets'!E$24))</f>
        <v>5.8394832458619295</v>
      </c>
      <c r="G22" s="8"/>
      <c r="J22"/>
      <c r="K22"/>
      <c r="L22"/>
      <c r="M22"/>
      <c r="N22"/>
      <c r="O22"/>
      <c r="P22"/>
      <c r="Q22"/>
      <c r="R22"/>
      <c r="S22"/>
      <c r="T22"/>
      <c r="U22"/>
      <c r="V22"/>
      <c r="W22"/>
      <c r="X22"/>
      <c r="Y22"/>
      <c r="Z22"/>
    </row>
    <row r="23" spans="1:26" ht="14.45" x14ac:dyDescent="0.3">
      <c r="A23" s="1" t="s">
        <v>28</v>
      </c>
      <c r="B23" s="275">
        <f t="shared" si="0"/>
        <v>606000000</v>
      </c>
      <c r="D23" s="8"/>
      <c r="E23" s="4">
        <f>BalanceSheets!E25</f>
        <v>1016000000</v>
      </c>
      <c r="F23" s="4">
        <f>BalanceSheets!F25</f>
        <v>606000000</v>
      </c>
      <c r="G23" s="8"/>
      <c r="J23"/>
      <c r="K23"/>
      <c r="L23"/>
      <c r="M23"/>
      <c r="N23"/>
      <c r="O23"/>
      <c r="P23"/>
      <c r="Q23"/>
      <c r="R23"/>
      <c r="S23"/>
      <c r="T23"/>
      <c r="U23"/>
      <c r="V23"/>
      <c r="W23"/>
      <c r="X23"/>
      <c r="Y23"/>
      <c r="Z23"/>
    </row>
    <row r="24" spans="1:26" ht="14.45" x14ac:dyDescent="0.3">
      <c r="A24" s="1" t="s">
        <v>205</v>
      </c>
      <c r="B24" s="285">
        <f>F24</f>
        <v>29.543703703703702</v>
      </c>
      <c r="D24" s="8"/>
      <c r="E24" s="228">
        <f>SUM(IncomeStatements!E9,IncomeStatements!E11)/AVERAGE(BalanceSheets!E$26:'BalanceSheets'!D26)</f>
        <v>30.287954383464005</v>
      </c>
      <c r="F24" s="228">
        <f>SUM(IncomeStatements!F9,IncomeStatements!F11)/AVERAGE(BalanceSheets!F$26:'BalanceSheets'!E26)</f>
        <v>29.543703703703702</v>
      </c>
      <c r="G24" s="8"/>
      <c r="H24" s="227"/>
      <c r="J24"/>
      <c r="K24"/>
      <c r="L24"/>
      <c r="M24"/>
      <c r="N24"/>
      <c r="O24"/>
      <c r="P24"/>
      <c r="Q24"/>
      <c r="R24"/>
      <c r="S24"/>
      <c r="T24"/>
      <c r="U24"/>
      <c r="V24"/>
      <c r="W24"/>
      <c r="X24"/>
      <c r="Y24"/>
      <c r="Z24"/>
    </row>
    <row r="25" spans="1:26" ht="14.45" x14ac:dyDescent="0.3">
      <c r="A25" s="3" t="s">
        <v>230</v>
      </c>
      <c r="B25" s="287">
        <f>F25</f>
        <v>0.29190056134723336</v>
      </c>
      <c r="D25" s="182">
        <f>BalanceSheets!D$27/IncomeStatements!D$17</f>
        <v>0.29166666666666669</v>
      </c>
      <c r="E25" s="182">
        <f>BalanceSheets!E$27/IncomeStatements!E$17</f>
        <v>2.3078260869565219</v>
      </c>
      <c r="F25" s="182">
        <f>BalanceSheets!F$27/IncomeStatements!F$17</f>
        <v>0.29190056134723336</v>
      </c>
      <c r="G25" s="8"/>
      <c r="H25" s="227"/>
      <c r="J25"/>
      <c r="K25"/>
      <c r="L25"/>
      <c r="M25"/>
      <c r="N25"/>
      <c r="O25"/>
      <c r="P25"/>
      <c r="Q25"/>
      <c r="R25"/>
      <c r="S25"/>
      <c r="T25"/>
      <c r="U25"/>
      <c r="V25"/>
      <c r="W25"/>
      <c r="X25"/>
      <c r="Y25"/>
      <c r="Z25"/>
    </row>
    <row r="26" spans="1:26" ht="14.45" x14ac:dyDescent="0.3">
      <c r="A26" s="3" t="s">
        <v>32</v>
      </c>
      <c r="B26" s="275">
        <f t="shared" si="0"/>
        <v>2412000000</v>
      </c>
      <c r="D26" s="8"/>
      <c r="E26" s="4">
        <f>BalanceSheets!E31</f>
        <v>1996000000</v>
      </c>
      <c r="F26" s="4">
        <f>BalanceSheets!F31</f>
        <v>2412000000</v>
      </c>
      <c r="G26" s="8"/>
      <c r="H26" s="63"/>
      <c r="J26"/>
      <c r="K26"/>
      <c r="L26"/>
      <c r="M26"/>
      <c r="N26"/>
      <c r="O26"/>
      <c r="P26"/>
      <c r="Q26"/>
      <c r="R26"/>
      <c r="S26"/>
      <c r="T26"/>
      <c r="U26"/>
      <c r="V26"/>
      <c r="W26"/>
      <c r="X26"/>
      <c r="Y26"/>
      <c r="Z26"/>
    </row>
    <row r="27" spans="1:26" ht="14.45" x14ac:dyDescent="0.3">
      <c r="A27" s="3" t="s">
        <v>36</v>
      </c>
      <c r="B27" s="275">
        <f t="shared" si="0"/>
        <v>1130000000</v>
      </c>
      <c r="E27" s="2">
        <f>BalanceSheets!$F$37</f>
        <v>1130000000</v>
      </c>
      <c r="F27" s="2">
        <f>BalanceSheets!$F$37</f>
        <v>1130000000</v>
      </c>
      <c r="J27"/>
      <c r="K27"/>
      <c r="L27"/>
      <c r="M27"/>
      <c r="N27"/>
      <c r="O27"/>
      <c r="P27"/>
      <c r="Q27"/>
      <c r="R27"/>
      <c r="S27"/>
      <c r="T27"/>
      <c r="U27"/>
      <c r="V27"/>
      <c r="W27"/>
      <c r="X27"/>
      <c r="Y27"/>
      <c r="Z27"/>
    </row>
    <row r="28" spans="1:26" ht="14.45" x14ac:dyDescent="0.3">
      <c r="A28" s="3" t="s">
        <v>206</v>
      </c>
      <c r="B28" s="288">
        <f t="shared" si="0"/>
        <v>0.25</v>
      </c>
      <c r="E28" s="58">
        <f>(ABS('Financial Statement Inputs'!E68)/IncomeStatements!E20)</f>
        <v>0.25</v>
      </c>
      <c r="F28" s="58">
        <f>(ABS('Financial Statement Inputs'!F68)/IncomeStatements!F20)</f>
        <v>0.25</v>
      </c>
      <c r="J28"/>
      <c r="K28"/>
      <c r="L28"/>
      <c r="M28"/>
      <c r="N28"/>
      <c r="O28"/>
      <c r="P28"/>
      <c r="Q28"/>
      <c r="R28"/>
      <c r="S28"/>
      <c r="T28"/>
      <c r="U28"/>
      <c r="V28"/>
      <c r="W28"/>
      <c r="X28"/>
      <c r="Y28"/>
      <c r="Z28"/>
    </row>
    <row r="29" spans="1:26" ht="3.6" customHeight="1" x14ac:dyDescent="0.3">
      <c r="E29"/>
      <c r="J29"/>
      <c r="K29"/>
      <c r="L29"/>
      <c r="M29"/>
      <c r="N29"/>
      <c r="O29"/>
      <c r="P29"/>
      <c r="Q29"/>
      <c r="R29"/>
      <c r="S29"/>
      <c r="T29"/>
      <c r="U29"/>
      <c r="V29"/>
      <c r="W29"/>
      <c r="X29"/>
      <c r="Y29"/>
      <c r="Z29"/>
    </row>
    <row r="30" spans="1:26" ht="14.45" x14ac:dyDescent="0.3">
      <c r="A30" s="13" t="s">
        <v>65</v>
      </c>
      <c r="E30"/>
      <c r="J30"/>
      <c r="K30"/>
      <c r="L30"/>
      <c r="M30"/>
      <c r="N30"/>
      <c r="O30"/>
      <c r="P30"/>
      <c r="Q30"/>
      <c r="R30"/>
      <c r="S30"/>
      <c r="T30"/>
      <c r="U30"/>
      <c r="V30"/>
      <c r="W30"/>
      <c r="X30"/>
      <c r="Y30"/>
      <c r="Z30"/>
    </row>
    <row r="31" spans="1:26" ht="3" customHeight="1" x14ac:dyDescent="0.3">
      <c r="A31"/>
      <c r="B31"/>
      <c r="C31"/>
      <c r="D31"/>
      <c r="E31"/>
      <c r="F31"/>
      <c r="H31" s="227"/>
      <c r="J31"/>
      <c r="K31"/>
      <c r="L31"/>
      <c r="M31"/>
      <c r="N31"/>
      <c r="O31"/>
      <c r="P31"/>
      <c r="Q31"/>
      <c r="R31"/>
      <c r="S31"/>
      <c r="T31"/>
      <c r="U31"/>
      <c r="V31"/>
      <c r="W31"/>
      <c r="X31"/>
      <c r="Y31"/>
      <c r="Z31"/>
    </row>
    <row r="32" spans="1:26" ht="14.45" x14ac:dyDescent="0.3">
      <c r="A32" s="1" t="s">
        <v>101</v>
      </c>
      <c r="B32" s="145">
        <f>-'Financial Statement Inputs'!D28*B28</f>
        <v>-250000000</v>
      </c>
      <c r="E32" s="2"/>
      <c r="F32" s="2">
        <f>'Financial Statement Inputs'!F68</f>
        <v>-250000000</v>
      </c>
      <c r="J32"/>
      <c r="K32"/>
      <c r="L32"/>
      <c r="M32"/>
      <c r="N32"/>
      <c r="O32"/>
      <c r="P32"/>
      <c r="Q32"/>
      <c r="R32"/>
      <c r="S32"/>
      <c r="T32"/>
      <c r="U32"/>
      <c r="V32"/>
      <c r="W32"/>
      <c r="X32"/>
      <c r="Y32"/>
      <c r="Z32"/>
    </row>
    <row r="33" spans="1:26" ht="14.45" x14ac:dyDescent="0.3">
      <c r="A33" s="3" t="s">
        <v>51</v>
      </c>
      <c r="B33" s="275">
        <f>+F33</f>
        <v>250000000</v>
      </c>
      <c r="E33" s="2"/>
      <c r="F33" s="2">
        <f>'Financial Statement Inputs'!F69</f>
        <v>250000000</v>
      </c>
      <c r="J33"/>
      <c r="K33"/>
      <c r="L33"/>
      <c r="M33"/>
      <c r="N33"/>
      <c r="O33"/>
      <c r="P33"/>
      <c r="Q33"/>
      <c r="R33"/>
      <c r="S33"/>
      <c r="T33"/>
      <c r="U33"/>
      <c r="V33"/>
      <c r="W33"/>
      <c r="X33"/>
      <c r="Y33"/>
      <c r="Z33"/>
    </row>
    <row r="34" spans="1:26" ht="14.45" x14ac:dyDescent="0.3">
      <c r="J34"/>
      <c r="K34"/>
      <c r="L34"/>
      <c r="M34"/>
      <c r="N34"/>
      <c r="O34"/>
      <c r="P34"/>
      <c r="Q34"/>
      <c r="R34"/>
      <c r="S34"/>
      <c r="T34"/>
      <c r="U34"/>
      <c r="V34"/>
      <c r="W34"/>
      <c r="X34"/>
      <c r="Y34"/>
      <c r="Z34"/>
    </row>
    <row r="35" spans="1:26" ht="14.45" x14ac:dyDescent="0.3">
      <c r="J35"/>
      <c r="K35"/>
      <c r="L35"/>
      <c r="M35"/>
      <c r="N35"/>
      <c r="O35"/>
      <c r="P35"/>
      <c r="Q35"/>
      <c r="R35"/>
      <c r="S35"/>
      <c r="T35"/>
      <c r="U35"/>
      <c r="V35"/>
      <c r="W35"/>
      <c r="X35"/>
      <c r="Y35"/>
      <c r="Z35"/>
    </row>
    <row r="36" spans="1:26" ht="14.45" x14ac:dyDescent="0.3">
      <c r="J36"/>
      <c r="K36"/>
      <c r="L36"/>
      <c r="M36"/>
      <c r="N36"/>
      <c r="O36"/>
      <c r="P36"/>
      <c r="Q36"/>
      <c r="R36"/>
      <c r="S36"/>
      <c r="T36"/>
      <c r="U36"/>
      <c r="V36"/>
      <c r="W36"/>
      <c r="X36"/>
      <c r="Y36"/>
      <c r="Z36"/>
    </row>
    <row r="37" spans="1:26" ht="14.45" x14ac:dyDescent="0.3">
      <c r="J37"/>
      <c r="K37"/>
      <c r="L37"/>
      <c r="M37"/>
      <c r="N37"/>
      <c r="O37"/>
      <c r="P37"/>
      <c r="Q37"/>
      <c r="R37"/>
      <c r="S37"/>
      <c r="T37"/>
      <c r="U37"/>
      <c r="V37"/>
      <c r="W37"/>
      <c r="X37"/>
      <c r="Y37"/>
      <c r="Z37"/>
    </row>
  </sheetData>
  <mergeCells count="3">
    <mergeCell ref="D5:F5"/>
    <mergeCell ref="A2:F2"/>
    <mergeCell ref="A3:B3"/>
  </mergeCells>
  <conditionalFormatting sqref="I2">
    <cfRule type="containsText" dxfId="17" priority="5" operator="containsText" text="Error">
      <formula>NOT(ISERROR(SEARCH("Error",I2)))</formula>
    </cfRule>
    <cfRule type="containsText" dxfId="16" priority="6" operator="containsText" text="OK">
      <formula>NOT(ISERROR(SEARCH("OK",I2)))</formula>
    </cfRule>
  </conditionalFormatting>
  <conditionalFormatting sqref="I3">
    <cfRule type="containsText" dxfId="15" priority="3" operator="containsText" text="Error">
      <formula>NOT(ISERROR(SEARCH("Error",I3)))</formula>
    </cfRule>
    <cfRule type="containsText" dxfId="14" priority="4" operator="containsText" text="OK">
      <formula>NOT(ISERROR(SEARCH("OK",I3)))</formula>
    </cfRule>
  </conditionalFormatting>
  <conditionalFormatting sqref="I4">
    <cfRule type="containsText" dxfId="13" priority="1" operator="containsText" text="Error">
      <formula>NOT(ISERROR(SEARCH("Error",I4)))</formula>
    </cfRule>
    <cfRule type="containsText" dxfId="12" priority="2" operator="containsText" text="OK">
      <formula>NOT(ISERROR(SEARCH("OK",I4)))</formula>
    </cfRule>
  </conditionalFormatting>
  <pageMargins left="0.7" right="0.7" top="0.75" bottom="0.75" header="0.3" footer="0.3"/>
  <pageSetup orientation="portrait"/>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HJ40"/>
  <sheetViews>
    <sheetView showGridLines="0" workbookViewId="0">
      <selection activeCell="G13" sqref="G13"/>
    </sheetView>
  </sheetViews>
  <sheetFormatPr defaultColWidth="9.140625" defaultRowHeight="15" x14ac:dyDescent="0.25"/>
  <cols>
    <col min="1" max="1" width="28.28515625" style="1" customWidth="1"/>
    <col min="2" max="2" width="0" hidden="1" customWidth="1"/>
    <col min="3" max="5" width="1.7109375" style="1" hidden="1" customWidth="1"/>
    <col min="6" max="6" width="9.140625" style="1"/>
    <col min="7" max="7" width="10.28515625" style="1" customWidth="1"/>
    <col min="8" max="8" width="4.5703125" style="1" customWidth="1"/>
    <col min="9" max="11" width="9.140625" style="1"/>
    <col min="12" max="12" width="11" style="1" bestFit="1" customWidth="1"/>
    <col min="13" max="16384" width="9.140625" style="1"/>
  </cols>
  <sheetData>
    <row r="1" spans="1:15" ht="27.6" x14ac:dyDescent="0.45">
      <c r="A1" s="334" t="s">
        <v>233</v>
      </c>
      <c r="B1" s="334"/>
      <c r="C1" s="334"/>
      <c r="D1" s="334"/>
      <c r="E1" s="334"/>
      <c r="F1" s="334"/>
      <c r="G1" s="334"/>
      <c r="H1" s="334"/>
    </row>
    <row r="2" spans="1:15" s="14" customFormat="1" ht="19.149999999999999" customHeight="1" x14ac:dyDescent="0.4">
      <c r="A2" s="320" t="s">
        <v>88</v>
      </c>
      <c r="B2" s="320"/>
      <c r="C2" s="320"/>
      <c r="D2" s="320"/>
      <c r="E2" s="320"/>
      <c r="F2" s="320"/>
      <c r="G2" s="320"/>
      <c r="H2" s="105"/>
    </row>
    <row r="3" spans="1:15" s="14" customFormat="1" ht="13.9" customHeight="1" x14ac:dyDescent="0.35">
      <c r="A3" s="321" t="s">
        <v>208</v>
      </c>
      <c r="B3" s="321"/>
      <c r="C3" s="321"/>
      <c r="D3" s="321"/>
      <c r="E3" s="321"/>
      <c r="F3" s="321"/>
      <c r="G3" s="321"/>
      <c r="H3" s="106"/>
    </row>
    <row r="4" spans="1:15" s="14" customFormat="1" ht="13.9" customHeight="1" x14ac:dyDescent="0.25">
      <c r="A4" s="335" t="s">
        <v>1</v>
      </c>
      <c r="B4" s="335"/>
      <c r="C4" s="335"/>
      <c r="D4" s="335"/>
      <c r="E4" s="335"/>
      <c r="F4" s="335"/>
      <c r="G4" s="249"/>
      <c r="H4" s="106"/>
    </row>
    <row r="5" spans="1:15" s="14" customFormat="1" ht="0.6" customHeight="1" x14ac:dyDescent="0.3">
      <c r="A5" s="118"/>
      <c r="B5" s="141"/>
    </row>
    <row r="6" spans="1:15" s="14" customFormat="1" ht="1.9" hidden="1" customHeight="1" x14ac:dyDescent="0.3">
      <c r="A6" s="118"/>
      <c r="B6" s="118"/>
      <c r="C6" s="118"/>
      <c r="D6" s="129"/>
      <c r="E6" s="129"/>
      <c r="H6" s="129"/>
    </row>
    <row r="7" spans="1:15" s="14" customFormat="1" ht="16.149999999999999" thickBot="1" x14ac:dyDescent="0.35">
      <c r="A7" s="118"/>
      <c r="B7" s="118"/>
      <c r="C7" s="118"/>
      <c r="D7" s="125"/>
      <c r="E7" s="125"/>
      <c r="F7" s="125">
        <f>'Financial Statement Inputs'!$F$16</f>
        <v>2013</v>
      </c>
      <c r="G7" s="125">
        <f>ProjectedInputs!B6</f>
        <v>2014</v>
      </c>
      <c r="H7" s="138"/>
    </row>
    <row r="8" spans="1:15" ht="13.9" x14ac:dyDescent="0.25">
      <c r="A8" s="115" t="s">
        <v>3</v>
      </c>
      <c r="B8" s="115"/>
      <c r="C8" s="115"/>
      <c r="D8" s="109"/>
      <c r="E8" s="109"/>
      <c r="F8" s="109">
        <f>IncomeStatements!F8</f>
        <v>56206000000</v>
      </c>
      <c r="G8" s="109">
        <f>IncomeStatements!F8*(1+ProjectedInputs!B7)</f>
        <v>68346496000</v>
      </c>
    </row>
    <row r="9" spans="1:15" ht="13.9" x14ac:dyDescent="0.25">
      <c r="A9" s="126" t="s">
        <v>4</v>
      </c>
      <c r="B9" s="126"/>
      <c r="C9" s="126"/>
      <c r="D9" s="196"/>
      <c r="E9" s="196"/>
      <c r="F9" s="196">
        <f>IncomeStatements!F9</f>
        <v>36161000000</v>
      </c>
      <c r="G9" s="196">
        <f>G8-(ProjectedInputs!B8*G8)</f>
        <v>43971776000</v>
      </c>
    </row>
    <row r="10" spans="1:15" ht="13.9" x14ac:dyDescent="0.25">
      <c r="A10" s="115" t="s">
        <v>14</v>
      </c>
      <c r="B10" s="115"/>
      <c r="C10" s="115"/>
      <c r="D10" s="109"/>
      <c r="E10" s="109"/>
      <c r="F10" s="109">
        <f>IncomeStatements!F10</f>
        <v>20045000000</v>
      </c>
      <c r="G10" s="109">
        <f>G$8-G$9</f>
        <v>24374720000</v>
      </c>
    </row>
    <row r="11" spans="1:15" ht="13.9" x14ac:dyDescent="0.25">
      <c r="A11" s="126" t="s">
        <v>5</v>
      </c>
      <c r="B11" s="126"/>
      <c r="C11" s="126"/>
      <c r="D11" s="196"/>
      <c r="E11" s="196"/>
      <c r="F11" s="196">
        <f>IncomeStatements!F11</f>
        <v>13694000000</v>
      </c>
      <c r="G11" s="196">
        <f>G8*ProjectedInputs!B9</f>
        <v>16676545024</v>
      </c>
    </row>
    <row r="12" spans="1:15" ht="14.45" x14ac:dyDescent="0.3">
      <c r="A12" s="127" t="s">
        <v>80</v>
      </c>
      <c r="B12" s="127"/>
      <c r="C12" s="127"/>
      <c r="D12" s="144"/>
      <c r="E12" s="144"/>
      <c r="F12" s="144">
        <f>F10-F11</f>
        <v>6351000000</v>
      </c>
      <c r="G12" s="144">
        <f>G10-G11</f>
        <v>7698174976</v>
      </c>
      <c r="J12" s="57"/>
    </row>
    <row r="13" spans="1:15" ht="13.9" x14ac:dyDescent="0.25">
      <c r="A13" s="126" t="s">
        <v>71</v>
      </c>
      <c r="B13" s="126"/>
      <c r="C13" s="126"/>
      <c r="D13" s="196"/>
      <c r="E13" s="196"/>
      <c r="F13" s="196">
        <f>IncomeStatements!F13</f>
        <v>1510000000</v>
      </c>
      <c r="G13" s="196">
        <f>BalanceSheets!F15*ProjectedInputs!B10</f>
        <v>1845448143.40589</v>
      </c>
    </row>
    <row r="14" spans="1:15" ht="13.9" x14ac:dyDescent="0.25">
      <c r="A14" s="115" t="s">
        <v>13</v>
      </c>
      <c r="B14" s="115"/>
      <c r="C14" s="115"/>
      <c r="D14" s="109"/>
      <c r="E14" s="109"/>
      <c r="F14" s="109">
        <f>F$10-F$11-F$13</f>
        <v>4841000000</v>
      </c>
      <c r="G14" s="109">
        <f>G$10-G$11-G$13</f>
        <v>5852726832.5941105</v>
      </c>
    </row>
    <row r="15" spans="1:15" ht="13.9" x14ac:dyDescent="0.25">
      <c r="A15" s="126" t="s">
        <v>7</v>
      </c>
      <c r="B15" s="126"/>
      <c r="C15" s="126"/>
      <c r="D15" s="196"/>
      <c r="E15" s="196"/>
      <c r="F15" s="196">
        <f>IncomeStatements!F15</f>
        <v>684000000</v>
      </c>
      <c r="G15" s="196">
        <f>+SUM(ProjectedBalanceSheet!G25,ProjectedBalanceSheet!G32)*ProjectedInputs!B11</f>
        <v>882949806.94980693</v>
      </c>
    </row>
    <row r="16" spans="1:15" ht="14.45" x14ac:dyDescent="0.3">
      <c r="A16" s="115" t="s">
        <v>12</v>
      </c>
      <c r="B16" s="115"/>
      <c r="C16" s="115"/>
      <c r="D16" s="109"/>
      <c r="E16" s="109"/>
      <c r="F16" s="109">
        <f>F14-F15</f>
        <v>4157000000</v>
      </c>
      <c r="G16" s="109">
        <f>G14-G15</f>
        <v>4969777025.6443033</v>
      </c>
      <c r="L16"/>
      <c r="M16"/>
      <c r="N16"/>
      <c r="O16"/>
    </row>
    <row r="17" spans="1:218" ht="14.45" x14ac:dyDescent="0.3">
      <c r="A17" s="126" t="s">
        <v>8</v>
      </c>
      <c r="B17" s="126"/>
      <c r="C17" s="126"/>
      <c r="D17" s="197"/>
      <c r="E17" s="197"/>
      <c r="F17" s="197">
        <f>IncomeStatements!F17</f>
        <v>1247000000</v>
      </c>
      <c r="G17" s="197">
        <f>G16*ProjectedInputs!B12</f>
        <v>1490933107.6932909</v>
      </c>
      <c r="L17"/>
      <c r="M17"/>
      <c r="N17"/>
      <c r="O17"/>
    </row>
    <row r="18" spans="1:218" thickBot="1" x14ac:dyDescent="0.35">
      <c r="A18" s="115" t="s">
        <v>9</v>
      </c>
      <c r="B18" s="115"/>
      <c r="C18" s="115"/>
      <c r="D18" s="110"/>
      <c r="E18" s="110"/>
      <c r="F18" s="110">
        <f>F$16-F$17</f>
        <v>2910000000</v>
      </c>
      <c r="G18" s="110">
        <f>G$16-G$17</f>
        <v>3478843917.9510126</v>
      </c>
      <c r="L18"/>
      <c r="M18"/>
      <c r="N18"/>
      <c r="O18"/>
    </row>
    <row r="19" spans="1:218" thickTop="1" x14ac:dyDescent="0.3">
      <c r="A19" s="115" t="s">
        <v>10</v>
      </c>
      <c r="B19" s="115"/>
      <c r="C19" s="115"/>
      <c r="D19" s="112"/>
      <c r="E19" s="112"/>
      <c r="F19" s="112">
        <f>IncomeStatements!F21</f>
        <v>2.91</v>
      </c>
      <c r="G19" s="112">
        <f>G$18/G$20</f>
        <v>3.4788439179510124</v>
      </c>
      <c r="L19"/>
      <c r="M19"/>
      <c r="N19"/>
      <c r="O19"/>
    </row>
    <row r="20" spans="1:218" s="8" customFormat="1" ht="14.45" thickBot="1" x14ac:dyDescent="0.3">
      <c r="A20" s="146" t="s">
        <v>11</v>
      </c>
      <c r="B20" s="146"/>
      <c r="C20" s="146"/>
      <c r="D20" s="246"/>
      <c r="E20" s="246"/>
      <c r="F20" s="246">
        <f>IncomeStatements!F20</f>
        <v>1000000000</v>
      </c>
      <c r="G20" s="246">
        <f>'Financial Statement Inputs'!D28</f>
        <v>1000000000</v>
      </c>
      <c r="H20" s="262"/>
      <c r="I20" s="8" t="s">
        <v>73</v>
      </c>
    </row>
    <row r="21" spans="1:218" ht="3.6" customHeight="1" x14ac:dyDescent="0.3">
      <c r="M21" s="61"/>
    </row>
    <row r="22" spans="1:218" ht="1.9" customHeight="1" x14ac:dyDescent="0.3"/>
    <row r="23" spans="1:218" ht="31.9" x14ac:dyDescent="0.5">
      <c r="A23" s="334" t="str">
        <f>A1</f>
        <v>Pro Forma Income Statement</v>
      </c>
      <c r="B23" s="334"/>
      <c r="C23" s="334"/>
      <c r="D23" s="334"/>
      <c r="E23" s="334"/>
      <c r="F23" s="334"/>
      <c r="G23" s="334"/>
      <c r="H23" s="334"/>
      <c r="I23" s="137"/>
      <c r="J23" s="137"/>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row>
    <row r="24" spans="1:218" ht="21.6" customHeight="1" x14ac:dyDescent="0.4">
      <c r="A24" s="320" t="s">
        <v>88</v>
      </c>
      <c r="B24" s="320"/>
      <c r="C24" s="320"/>
      <c r="D24" s="320"/>
      <c r="E24" s="320"/>
      <c r="F24" s="320"/>
      <c r="G24" s="320"/>
      <c r="H24" s="105"/>
      <c r="I24" s="105"/>
      <c r="J24" s="105"/>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row>
    <row r="25" spans="1:218" ht="18" x14ac:dyDescent="0.35">
      <c r="A25" s="321" t="s">
        <v>207</v>
      </c>
      <c r="B25" s="321"/>
      <c r="C25" s="321"/>
      <c r="D25" s="321"/>
      <c r="E25" s="321"/>
      <c r="F25" s="321"/>
      <c r="G25" s="321"/>
      <c r="H25" s="106"/>
      <c r="I25" s="106"/>
      <c r="J25" s="106"/>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row>
    <row r="26" spans="1:218" s="14" customFormat="1" ht="0.6" customHeight="1" x14ac:dyDescent="0.3">
      <c r="A26" s="118"/>
      <c r="B26" s="118"/>
      <c r="C26" s="118"/>
      <c r="D26" s="129"/>
      <c r="E26" s="129"/>
      <c r="F26" s="129"/>
      <c r="H26" s="129"/>
      <c r="I26" s="129"/>
      <c r="J26" s="129"/>
    </row>
    <row r="27" spans="1:218" s="14" customFormat="1" ht="16.149999999999999" thickBot="1" x14ac:dyDescent="0.35">
      <c r="A27" s="118"/>
      <c r="B27" s="118"/>
      <c r="C27" s="118"/>
      <c r="D27" s="1"/>
      <c r="E27" s="153" t="s">
        <v>198</v>
      </c>
      <c r="F27" s="153" t="s">
        <v>199</v>
      </c>
      <c r="G27" s="1"/>
      <c r="H27" s="138"/>
      <c r="I27" s="138"/>
      <c r="J27" s="138"/>
    </row>
    <row r="28" spans="1:218" s="14" customFormat="1" ht="14.45" x14ac:dyDescent="0.3">
      <c r="A28" s="115" t="s">
        <v>3</v>
      </c>
      <c r="B28" s="115"/>
      <c r="C28" s="115"/>
      <c r="D28"/>
      <c r="E28" s="147" t="e">
        <f t="shared" ref="E28" si="0">(#REF!/#REF!)-1</f>
        <v>#REF!</v>
      </c>
      <c r="F28" s="183">
        <f t="shared" ref="F28:F40" si="1">IFERROR(G8/F8-1,0)</f>
        <v>0.21599999999999997</v>
      </c>
      <c r="G28"/>
    </row>
    <row r="29" spans="1:218" s="14" customFormat="1" ht="14.45" x14ac:dyDescent="0.3">
      <c r="A29" s="126" t="s">
        <v>4</v>
      </c>
      <c r="B29" s="126"/>
      <c r="C29" s="126"/>
      <c r="D29"/>
      <c r="E29" s="148" t="e">
        <f t="shared" ref="E29" si="2">(#REF!/#REF!)-1</f>
        <v>#REF!</v>
      </c>
      <c r="F29" s="184">
        <f t="shared" si="1"/>
        <v>0.21599999999999997</v>
      </c>
      <c r="G29"/>
    </row>
    <row r="30" spans="1:218" s="14" customFormat="1" ht="14.45" x14ac:dyDescent="0.3">
      <c r="A30" s="115" t="s">
        <v>14</v>
      </c>
      <c r="B30" s="115"/>
      <c r="C30" s="115"/>
      <c r="D30"/>
      <c r="E30" s="147" t="e">
        <f t="shared" ref="E30" si="3">(#REF!/#REF!)-1</f>
        <v>#REF!</v>
      </c>
      <c r="F30" s="183">
        <f t="shared" si="1"/>
        <v>0.21599999999999997</v>
      </c>
      <c r="G30"/>
    </row>
    <row r="31" spans="1:218" s="14" customFormat="1" ht="14.45" x14ac:dyDescent="0.3">
      <c r="A31" s="126" t="s">
        <v>5</v>
      </c>
      <c r="B31" s="126"/>
      <c r="C31" s="126"/>
      <c r="D31"/>
      <c r="E31" s="148" t="e">
        <f t="shared" ref="E31" si="4">(#REF!/#REF!)-1</f>
        <v>#REF!</v>
      </c>
      <c r="F31" s="184">
        <f t="shared" si="1"/>
        <v>0.21779940295019706</v>
      </c>
      <c r="G31"/>
    </row>
    <row r="32" spans="1:218" s="14" customFormat="1" ht="14.45" x14ac:dyDescent="0.3">
      <c r="A32" s="127" t="s">
        <v>80</v>
      </c>
      <c r="B32" s="127"/>
      <c r="C32" s="127"/>
      <c r="D32"/>
      <c r="E32" s="147" t="e">
        <f t="shared" ref="E32" si="5">(#REF!/#REF!)-1</f>
        <v>#REF!</v>
      </c>
      <c r="F32" s="185">
        <f t="shared" si="1"/>
        <v>0.21212013478192415</v>
      </c>
      <c r="G32"/>
      <c r="L32" s="130"/>
    </row>
    <row r="33" spans="1:16" s="14" customFormat="1" ht="14.45" x14ac:dyDescent="0.3">
      <c r="A33" s="126" t="s">
        <v>71</v>
      </c>
      <c r="B33" s="126"/>
      <c r="C33" s="126"/>
      <c r="D33"/>
      <c r="E33" s="148" t="e">
        <f t="shared" ref="E33" si="6">(#REF!/#REF!)-1</f>
        <v>#REF!</v>
      </c>
      <c r="F33" s="184">
        <f t="shared" si="1"/>
        <v>0.22215108834827157</v>
      </c>
      <c r="G33"/>
    </row>
    <row r="34" spans="1:16" s="14" customFormat="1" ht="14.45" x14ac:dyDescent="0.3">
      <c r="A34" s="115" t="s">
        <v>13</v>
      </c>
      <c r="B34" s="115"/>
      <c r="C34" s="115"/>
      <c r="D34"/>
      <c r="E34" s="147" t="e">
        <f t="shared" ref="E34" si="7">(#REF!/#REF!)-1</f>
        <v>#REF!</v>
      </c>
      <c r="F34" s="183">
        <f t="shared" si="1"/>
        <v>0.20899128952574064</v>
      </c>
      <c r="G34"/>
    </row>
    <row r="35" spans="1:16" s="14" customFormat="1" ht="14.45" x14ac:dyDescent="0.3">
      <c r="A35" s="126" t="s">
        <v>7</v>
      </c>
      <c r="B35" s="126"/>
      <c r="C35" s="126"/>
      <c r="D35"/>
      <c r="E35" s="148" t="e">
        <f t="shared" ref="E35" si="8">(#REF!/#REF!)-1</f>
        <v>#REF!</v>
      </c>
      <c r="F35" s="184">
        <f t="shared" si="1"/>
        <v>0.29086229086229087</v>
      </c>
      <c r="G35"/>
      <c r="K35" s="67"/>
      <c r="L35" s="67"/>
      <c r="M35" s="67"/>
      <c r="N35" s="67"/>
      <c r="O35" s="117"/>
      <c r="P35" s="67"/>
    </row>
    <row r="36" spans="1:16" s="14" customFormat="1" ht="14.45" x14ac:dyDescent="0.3">
      <c r="A36" s="115" t="s">
        <v>12</v>
      </c>
      <c r="B36" s="115"/>
      <c r="C36" s="115"/>
      <c r="D36"/>
      <c r="E36" s="147" t="e">
        <f t="shared" ref="E36" si="9">(#REF!/#REF!)-1</f>
        <v>#REF!</v>
      </c>
      <c r="F36" s="183">
        <f t="shared" si="1"/>
        <v>0.19552009276985882</v>
      </c>
      <c r="G36"/>
    </row>
    <row r="37" spans="1:16" s="14" customFormat="1" ht="14.45" x14ac:dyDescent="0.3">
      <c r="A37" s="126" t="s">
        <v>8</v>
      </c>
      <c r="B37" s="126"/>
      <c r="C37" s="126"/>
      <c r="D37"/>
      <c r="E37" s="148" t="e">
        <f t="shared" ref="E37" si="10">(#REF!/#REF!)-1</f>
        <v>#REF!</v>
      </c>
      <c r="F37" s="184">
        <f t="shared" si="1"/>
        <v>0.19561596446935914</v>
      </c>
      <c r="G37"/>
    </row>
    <row r="38" spans="1:16" s="14" customFormat="1" ht="14.45" x14ac:dyDescent="0.3">
      <c r="A38" s="115" t="s">
        <v>9</v>
      </c>
      <c r="B38" s="115"/>
      <c r="C38" s="115"/>
      <c r="D38"/>
      <c r="E38" s="147" t="e">
        <f t="shared" ref="E38" si="11">(#REF!/#REF!)-1</f>
        <v>#REF!</v>
      </c>
      <c r="F38" s="183">
        <f t="shared" si="1"/>
        <v>0.19547900960515907</v>
      </c>
      <c r="G38"/>
    </row>
    <row r="39" spans="1:16" s="14" customFormat="1" ht="14.45" x14ac:dyDescent="0.3">
      <c r="A39" s="115" t="s">
        <v>10</v>
      </c>
      <c r="B39" s="115"/>
      <c r="C39" s="115"/>
      <c r="D39"/>
      <c r="E39" s="148" t="e">
        <f t="shared" ref="E39" si="12">(#REF!/#REF!)-1</f>
        <v>#REF!</v>
      </c>
      <c r="F39" s="186">
        <f t="shared" si="1"/>
        <v>0.19547900960515885</v>
      </c>
      <c r="G39"/>
    </row>
    <row r="40" spans="1:16" s="131" customFormat="1" thickBot="1" x14ac:dyDescent="0.35">
      <c r="A40" s="146" t="s">
        <v>11</v>
      </c>
      <c r="B40" s="146"/>
      <c r="C40" s="146"/>
      <c r="D40" s="258"/>
      <c r="E40" s="149" t="e">
        <f t="shared" ref="E40" si="13">(#REF!/#REF!)-1</f>
        <v>#REF!</v>
      </c>
      <c r="F40" s="187">
        <f t="shared" si="1"/>
        <v>0</v>
      </c>
      <c r="G40" s="139"/>
      <c r="H40" s="139"/>
      <c r="K40" s="131" t="s">
        <v>73</v>
      </c>
    </row>
  </sheetData>
  <mergeCells count="7">
    <mergeCell ref="A2:G2"/>
    <mergeCell ref="A3:G3"/>
    <mergeCell ref="A24:G24"/>
    <mergeCell ref="A25:G25"/>
    <mergeCell ref="A1:H1"/>
    <mergeCell ref="A23:H23"/>
    <mergeCell ref="A4:F4"/>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M44"/>
  <sheetViews>
    <sheetView showGridLines="0" workbookViewId="0">
      <selection activeCell="I15" sqref="I15"/>
    </sheetView>
  </sheetViews>
  <sheetFormatPr defaultColWidth="9.140625" defaultRowHeight="15" x14ac:dyDescent="0.25"/>
  <cols>
    <col min="1" max="1" width="31" style="1" customWidth="1"/>
    <col min="2" max="5" width="31.42578125" style="1" hidden="1" customWidth="1"/>
    <col min="6" max="6" width="9.140625" style="1" customWidth="1"/>
    <col min="7" max="7" width="10.42578125" style="1" customWidth="1"/>
    <col min="8" max="8" width="1" style="1" customWidth="1"/>
    <col min="9" max="9" width="8.28515625" style="6" customWidth="1"/>
    <col min="10" max="10" width="5.7109375" style="6" customWidth="1"/>
    <col min="11" max="16384" width="9.140625" style="1"/>
  </cols>
  <sheetData>
    <row r="1" spans="1:12" ht="28.15" customHeight="1" x14ac:dyDescent="0.5">
      <c r="A1" s="325" t="s">
        <v>70</v>
      </c>
      <c r="B1" s="325"/>
      <c r="C1" s="325"/>
      <c r="D1" s="325"/>
      <c r="E1" s="325"/>
      <c r="F1" s="325"/>
      <c r="G1" s="325"/>
      <c r="H1" s="325"/>
      <c r="I1" s="325"/>
      <c r="J1" s="325"/>
    </row>
    <row r="2" spans="1:12" ht="19.899999999999999" customHeight="1" x14ac:dyDescent="0.4">
      <c r="A2" s="320" t="s">
        <v>88</v>
      </c>
      <c r="B2" s="320"/>
      <c r="C2" s="320"/>
      <c r="D2" s="320"/>
      <c r="E2" s="320"/>
      <c r="F2" s="320"/>
      <c r="G2" s="320"/>
      <c r="H2" s="320"/>
      <c r="I2" s="320"/>
      <c r="J2" s="320"/>
    </row>
    <row r="3" spans="1:12" ht="13.9" customHeight="1" x14ac:dyDescent="0.35">
      <c r="A3" s="321" t="s">
        <v>208</v>
      </c>
      <c r="B3" s="321"/>
      <c r="C3" s="321"/>
      <c r="D3" s="321"/>
      <c r="E3" s="321"/>
      <c r="F3" s="321"/>
      <c r="G3" s="321"/>
      <c r="H3" s="321"/>
      <c r="I3" s="321"/>
      <c r="J3" s="321"/>
    </row>
    <row r="4" spans="1:12" ht="0.6" customHeight="1" x14ac:dyDescent="0.3">
      <c r="A4" s="336"/>
      <c r="B4" s="336"/>
      <c r="C4" s="336"/>
      <c r="D4" s="336"/>
      <c r="E4" s="336"/>
      <c r="F4" s="336"/>
      <c r="G4" s="336"/>
      <c r="H4" s="107"/>
    </row>
    <row r="5" spans="1:12" ht="10.9" customHeight="1" x14ac:dyDescent="0.25">
      <c r="A5" s="107"/>
      <c r="B5" s="107"/>
      <c r="C5" s="107"/>
      <c r="D5" s="107"/>
      <c r="E5" s="107"/>
      <c r="F5" s="107"/>
      <c r="G5" s="107"/>
      <c r="H5" s="107"/>
      <c r="I5" s="324" t="s">
        <v>211</v>
      </c>
      <c r="J5" s="324"/>
    </row>
    <row r="6" spans="1:12" s="14" customFormat="1" ht="17.45" x14ac:dyDescent="0.3">
      <c r="A6" s="244" t="s">
        <v>83</v>
      </c>
      <c r="F6" s="247" t="s">
        <v>234</v>
      </c>
      <c r="G6" s="247"/>
      <c r="H6" s="123"/>
      <c r="I6" s="324" t="str">
        <f>'Financial Statement Inputs'!$F$16&amp;" to "&amp;ProjectedInputs!B6</f>
        <v>2013 to 2014</v>
      </c>
      <c r="J6" s="324"/>
    </row>
    <row r="7" spans="1:12" s="14" customFormat="1" ht="14.45" thickBot="1" x14ac:dyDescent="0.3">
      <c r="F7" s="122">
        <f>'Financial Statement Inputs'!$F$16</f>
        <v>2013</v>
      </c>
      <c r="G7" s="122">
        <f>ProjectedInputs!B6</f>
        <v>2014</v>
      </c>
      <c r="H7" s="123"/>
      <c r="I7" s="122" t="s">
        <v>103</v>
      </c>
      <c r="J7" s="122" t="s">
        <v>104</v>
      </c>
    </row>
    <row r="8" spans="1:12" s="14" customFormat="1" ht="13.9" x14ac:dyDescent="0.25">
      <c r="A8" s="88" t="s">
        <v>83</v>
      </c>
      <c r="B8" s="88"/>
      <c r="C8" s="88"/>
      <c r="D8" s="88"/>
      <c r="E8" s="88"/>
      <c r="H8" s="123"/>
    </row>
    <row r="9" spans="1:12" s="14" customFormat="1" ht="13.9" x14ac:dyDescent="0.25">
      <c r="A9" s="108" t="s">
        <v>76</v>
      </c>
      <c r="B9" s="108"/>
      <c r="C9" s="108"/>
      <c r="D9" s="108"/>
      <c r="E9" s="108"/>
      <c r="F9" s="67">
        <f>BalanceSheets!F9</f>
        <v>6807000000</v>
      </c>
      <c r="G9" s="67">
        <f>+ProjectedCashFlows!G36</f>
        <v>4924810325.7383633</v>
      </c>
      <c r="H9" s="67"/>
      <c r="I9" s="67">
        <f>G9-F9</f>
        <v>-1882189674.2616367</v>
      </c>
      <c r="J9" s="189">
        <f>G9/F9-1</f>
        <v>-0.2765079586104946</v>
      </c>
    </row>
    <row r="10" spans="1:12" s="14" customFormat="1" ht="13.9" x14ac:dyDescent="0.25">
      <c r="A10" s="108" t="s">
        <v>16</v>
      </c>
      <c r="B10" s="108"/>
      <c r="C10" s="108"/>
      <c r="D10" s="108"/>
      <c r="E10" s="108"/>
      <c r="F10" s="197">
        <f>BalanceSheets!F10</f>
        <v>6082000000</v>
      </c>
      <c r="G10" s="197">
        <f>+ProjectedIncomeStatement!G8/ProjectedInputs!B16</f>
        <v>6788320000</v>
      </c>
      <c r="H10" s="67"/>
      <c r="I10" s="197">
        <f>G10-F10</f>
        <v>706320000</v>
      </c>
      <c r="J10" s="189">
        <f>G10/F10-1</f>
        <v>0.11613285103584348</v>
      </c>
    </row>
    <row r="11" spans="1:12" s="14" customFormat="1" ht="13.9" x14ac:dyDescent="0.25">
      <c r="A11" s="108" t="s">
        <v>17</v>
      </c>
      <c r="B11" s="108"/>
      <c r="C11" s="108"/>
      <c r="D11" s="108"/>
      <c r="E11" s="108"/>
      <c r="F11" s="197">
        <f>BalanceSheets!F11</f>
        <v>6460000000</v>
      </c>
      <c r="G11" s="197">
        <f>+ProjectedIncomeStatement!G9/ProjectedInputs!B17</f>
        <v>6957951999.999999</v>
      </c>
      <c r="H11" s="67"/>
      <c r="I11" s="197">
        <f>G11-F11</f>
        <v>497951999.99999905</v>
      </c>
      <c r="J11" s="189">
        <f>G11/F11-1</f>
        <v>7.708235294117638E-2</v>
      </c>
    </row>
    <row r="12" spans="1:12" s="14" customFormat="1" ht="13.9" x14ac:dyDescent="0.25">
      <c r="A12" s="108" t="s">
        <v>18</v>
      </c>
      <c r="B12" s="108"/>
      <c r="C12" s="108"/>
      <c r="D12" s="108"/>
      <c r="E12" s="108"/>
      <c r="F12" s="196">
        <f>BalanceSheets!F12</f>
        <v>1468000000</v>
      </c>
      <c r="G12" s="196">
        <f>ProjectedInputs!B18</f>
        <v>1468000000</v>
      </c>
      <c r="H12" s="104"/>
      <c r="I12" s="196">
        <f>G12-F12</f>
        <v>0</v>
      </c>
      <c r="J12" s="189">
        <f>G12/F12-1</f>
        <v>0</v>
      </c>
    </row>
    <row r="13" spans="1:12" s="14" customFormat="1" ht="13.9" x14ac:dyDescent="0.25">
      <c r="A13" s="88" t="s">
        <v>190</v>
      </c>
      <c r="B13" s="88"/>
      <c r="C13" s="88"/>
      <c r="D13" s="88"/>
      <c r="E13" s="88"/>
      <c r="F13" s="109">
        <f>SUM(F$9:F$12)</f>
        <v>20817000000</v>
      </c>
      <c r="G13" s="109">
        <f>SUM(G$9:G$12)</f>
        <v>20139082325.738361</v>
      </c>
      <c r="H13" s="109"/>
      <c r="I13" s="109">
        <f>G13-F13</f>
        <v>-677917674.26163864</v>
      </c>
      <c r="J13" s="190">
        <f>G13/F13-1</f>
        <v>-3.2565579779105458E-2</v>
      </c>
    </row>
    <row r="14" spans="1:12" s="14" customFormat="1" ht="3" customHeight="1" x14ac:dyDescent="0.25">
      <c r="J14" s="191"/>
    </row>
    <row r="15" spans="1:12" s="14" customFormat="1" ht="13.9" x14ac:dyDescent="0.25">
      <c r="A15" s="108" t="s">
        <v>20</v>
      </c>
      <c r="B15" s="108"/>
      <c r="C15" s="108"/>
      <c r="D15" s="108"/>
      <c r="E15" s="108"/>
      <c r="F15" s="67">
        <f>BalanceSheets!F15</f>
        <v>26726000000</v>
      </c>
      <c r="G15" s="67">
        <f>+BalanceSheets!F15+(ProjectedIncomeStatement!G8*ProjectedInputs!B19)</f>
        <v>32633328000</v>
      </c>
      <c r="H15" s="67"/>
      <c r="I15" s="67">
        <f>G15-F15</f>
        <v>5907328000</v>
      </c>
      <c r="J15" s="189">
        <f>G15/F15-1</f>
        <v>0.22103300157150341</v>
      </c>
    </row>
    <row r="16" spans="1:12" s="14" customFormat="1" ht="13.9" x14ac:dyDescent="0.25">
      <c r="A16" s="108" t="s">
        <v>21</v>
      </c>
      <c r="B16" s="108"/>
      <c r="C16" s="108"/>
      <c r="D16" s="108"/>
      <c r="E16" s="108"/>
      <c r="F16" s="196">
        <f>BalanceSheets!F16</f>
        <v>7783000000</v>
      </c>
      <c r="G16" s="196">
        <f>+F16+ProjectedIncomeStatement!G13</f>
        <v>9628448143.4058895</v>
      </c>
      <c r="H16" s="104"/>
      <c r="I16" s="196">
        <f>G16-F16</f>
        <v>1845448143.4058895</v>
      </c>
      <c r="J16" s="189">
        <f>G16/F16-1</f>
        <v>0.23711269991081707</v>
      </c>
      <c r="L16" s="239"/>
    </row>
    <row r="17" spans="1:12" s="14" customFormat="1" ht="13.9" x14ac:dyDescent="0.25">
      <c r="A17" s="88" t="s">
        <v>192</v>
      </c>
      <c r="B17" s="88"/>
      <c r="C17" s="88"/>
      <c r="D17" s="88"/>
      <c r="E17" s="88"/>
      <c r="F17" s="109">
        <f>F$15-F$16</f>
        <v>18943000000</v>
      </c>
      <c r="G17" s="109">
        <f>G$15-G$16</f>
        <v>23004879856.594109</v>
      </c>
      <c r="H17" s="109"/>
      <c r="I17" s="109">
        <f>G17-F17</f>
        <v>4061879856.5941086</v>
      </c>
      <c r="J17" s="190">
        <f>G17/F17-1</f>
        <v>0.21442642963596614</v>
      </c>
    </row>
    <row r="18" spans="1:12" s="14" customFormat="1" ht="3" customHeight="1" x14ac:dyDescent="0.25">
      <c r="F18" s="67"/>
      <c r="G18" s="67"/>
      <c r="H18" s="67"/>
      <c r="I18" s="67"/>
      <c r="J18" s="188"/>
    </row>
    <row r="19" spans="1:12" s="14" customFormat="1" ht="13.9" x14ac:dyDescent="0.25">
      <c r="A19" s="108" t="s">
        <v>23</v>
      </c>
      <c r="B19" s="108"/>
      <c r="C19" s="108"/>
      <c r="D19" s="108"/>
      <c r="E19" s="108"/>
      <c r="F19" s="67">
        <f>BalanceSheets!F19</f>
        <v>1813000000</v>
      </c>
      <c r="G19" s="67">
        <f>ProjectedInputs!B21</f>
        <v>1813000000</v>
      </c>
      <c r="H19" s="67"/>
      <c r="I19" s="67">
        <f>G19-F19</f>
        <v>0</v>
      </c>
      <c r="J19" s="189">
        <f>G19/F19-1</f>
        <v>0</v>
      </c>
    </row>
    <row r="20" spans="1:12" s="14" customFormat="1" ht="14.45" thickBot="1" x14ac:dyDescent="0.3">
      <c r="A20" s="113" t="s">
        <v>82</v>
      </c>
      <c r="B20" s="192"/>
      <c r="C20" s="192"/>
      <c r="D20" s="192"/>
      <c r="E20" s="192"/>
      <c r="F20" s="110">
        <f>F$13+F$17+F$19</f>
        <v>41573000000</v>
      </c>
      <c r="G20" s="110">
        <f>G$13+G$17+G$19</f>
        <v>44956962182.332474</v>
      </c>
      <c r="H20" s="111"/>
      <c r="I20" s="110">
        <f>G20-F20</f>
        <v>3383962182.3324738</v>
      </c>
      <c r="J20" s="190">
        <f>G20/F20-1</f>
        <v>8.1398075249139445E-2</v>
      </c>
    </row>
    <row r="21" spans="1:12" s="14" customFormat="1" ht="3" customHeight="1" thickTop="1" x14ac:dyDescent="0.25">
      <c r="F21" s="67"/>
      <c r="G21" s="67"/>
      <c r="H21" s="67"/>
      <c r="I21" s="188"/>
      <c r="J21" s="188"/>
    </row>
    <row r="22" spans="1:12" s="14" customFormat="1" ht="16.149999999999999" customHeight="1" x14ac:dyDescent="0.3">
      <c r="A22" s="244" t="s">
        <v>84</v>
      </c>
      <c r="B22" s="244"/>
      <c r="C22" s="244"/>
      <c r="D22" s="244"/>
      <c r="E22" s="244"/>
      <c r="F22" s="244"/>
      <c r="G22" s="244"/>
      <c r="H22" s="67"/>
      <c r="I22" s="188"/>
      <c r="J22" s="188"/>
    </row>
    <row r="23" spans="1:12" s="14" customFormat="1" ht="13.9" x14ac:dyDescent="0.25">
      <c r="A23" s="88" t="s">
        <v>85</v>
      </c>
      <c r="B23" s="88"/>
      <c r="C23" s="88"/>
      <c r="D23" s="88"/>
      <c r="E23" s="88"/>
      <c r="F23" s="67"/>
      <c r="G23" s="67"/>
      <c r="H23" s="104"/>
      <c r="I23" s="188"/>
      <c r="J23" s="188"/>
    </row>
    <row r="24" spans="1:12" s="14" customFormat="1" ht="13.9" x14ac:dyDescent="0.25">
      <c r="A24" s="108" t="s">
        <v>27</v>
      </c>
      <c r="B24" s="108"/>
      <c r="C24" s="108"/>
      <c r="D24" s="108"/>
      <c r="E24" s="108"/>
      <c r="F24" s="67">
        <f>BalanceSheets!F24</f>
        <v>6934000000</v>
      </c>
      <c r="G24" s="67">
        <f>+ProjectedIncomeStatement!G9/ProjectedInputs!B22</f>
        <v>7530080000</v>
      </c>
      <c r="H24" s="104"/>
      <c r="I24" s="67">
        <f>G24-F24</f>
        <v>596080000</v>
      </c>
      <c r="J24" s="189">
        <f>G24/F24-1</f>
        <v>8.5964811075858183E-2</v>
      </c>
    </row>
    <row r="25" spans="1:12" s="14" customFormat="1" ht="13.9" x14ac:dyDescent="0.25">
      <c r="A25" s="108" t="s">
        <v>28</v>
      </c>
      <c r="B25" s="108"/>
      <c r="C25" s="108"/>
      <c r="D25" s="108"/>
      <c r="E25" s="108"/>
      <c r="F25" s="197">
        <f>BalanceSheets!F25</f>
        <v>606000000</v>
      </c>
      <c r="G25" s="197">
        <f>ProjectedInputs!B23</f>
        <v>606000000</v>
      </c>
      <c r="H25" s="132"/>
      <c r="I25" s="197">
        <f>G25-F25</f>
        <v>0</v>
      </c>
      <c r="J25" s="189">
        <f>G25/F25-1</f>
        <v>0</v>
      </c>
    </row>
    <row r="26" spans="1:12" s="14" customFormat="1" ht="13.9" x14ac:dyDescent="0.25">
      <c r="A26" s="108" t="s">
        <v>29</v>
      </c>
      <c r="B26" s="108"/>
      <c r="C26" s="108"/>
      <c r="D26" s="108"/>
      <c r="E26" s="108"/>
      <c r="F26" s="197">
        <f>BalanceSheets!F26</f>
        <v>1959000000</v>
      </c>
      <c r="G26" s="197">
        <f>SUM(ProjectedIncomeStatement!G9,ProjectedIncomeStatement!G11)/ProjectedInputs!B24</f>
        <v>2052834053.3146124</v>
      </c>
      <c r="H26" s="132"/>
      <c r="I26" s="197">
        <f>G26-F26</f>
        <v>93834053.314612389</v>
      </c>
      <c r="J26" s="189">
        <f>G26/F26-1</f>
        <v>4.7898955239720431E-2</v>
      </c>
      <c r="L26" s="239"/>
    </row>
    <row r="27" spans="1:12" s="14" customFormat="1" ht="13.9" x14ac:dyDescent="0.25">
      <c r="A27" s="108" t="s">
        <v>30</v>
      </c>
      <c r="B27" s="108"/>
      <c r="C27" s="108"/>
      <c r="D27" s="108"/>
      <c r="E27" s="108"/>
      <c r="F27" s="196">
        <f>BalanceSheets!F27</f>
        <v>364000000</v>
      </c>
      <c r="G27" s="196">
        <f>+ProjectedIncomeStatement!G17*ProjectedInputs!B25</f>
        <v>435204211.06684673</v>
      </c>
      <c r="H27" s="132"/>
      <c r="I27" s="196">
        <f>G27-F27</f>
        <v>71204211.066846728</v>
      </c>
      <c r="J27" s="189">
        <f>G27/F27-1</f>
        <v>0.19561596446935914</v>
      </c>
    </row>
    <row r="28" spans="1:12" s="14" customFormat="1" ht="13.9" x14ac:dyDescent="0.25">
      <c r="A28" s="88" t="s">
        <v>187</v>
      </c>
      <c r="B28" s="88"/>
      <c r="C28" s="88"/>
      <c r="D28" s="88"/>
      <c r="E28" s="88"/>
      <c r="F28" s="109">
        <f>SUM(F$24:F$27)</f>
        <v>9863000000</v>
      </c>
      <c r="G28" s="109">
        <f>SUM(G$24:G$27)</f>
        <v>10624118264.38146</v>
      </c>
      <c r="H28" s="111"/>
      <c r="I28" s="109">
        <f>G28-F28</f>
        <v>761118264.38146019</v>
      </c>
      <c r="J28" s="190">
        <f>G28/F28-1</f>
        <v>7.7169042317901226E-2</v>
      </c>
    </row>
    <row r="29" spans="1:12" s="14" customFormat="1" ht="3" customHeight="1" x14ac:dyDescent="0.25">
      <c r="H29" s="131"/>
      <c r="J29" s="191"/>
    </row>
    <row r="30" spans="1:12" s="14" customFormat="1" ht="13.9" x14ac:dyDescent="0.25">
      <c r="A30" s="113" t="s">
        <v>86</v>
      </c>
      <c r="B30" s="113"/>
      <c r="C30" s="113"/>
      <c r="D30" s="113"/>
      <c r="E30" s="113"/>
      <c r="F30" s="88"/>
      <c r="G30" s="88"/>
      <c r="H30" s="133"/>
      <c r="I30" s="88"/>
      <c r="J30" s="193"/>
    </row>
    <row r="31" spans="1:12" s="14" customFormat="1" ht="13.9" x14ac:dyDescent="0.25">
      <c r="A31" s="108" t="s">
        <v>32</v>
      </c>
      <c r="B31" s="108"/>
      <c r="C31" s="108"/>
      <c r="D31" s="108"/>
      <c r="E31" s="108"/>
      <c r="F31" s="67">
        <f>BalanceSheets!F31</f>
        <v>2412000000</v>
      </c>
      <c r="G31" s="67">
        <f>ProjectedInputs!$B$26</f>
        <v>2412000000</v>
      </c>
      <c r="H31" s="104"/>
      <c r="I31" s="67">
        <f>G31-F31</f>
        <v>0</v>
      </c>
      <c r="J31" s="189">
        <f>G31/F31-1</f>
        <v>0</v>
      </c>
    </row>
    <row r="32" spans="1:12" s="14" customFormat="1" ht="13.9" x14ac:dyDescent="0.25">
      <c r="A32" s="108" t="s">
        <v>33</v>
      </c>
      <c r="B32" s="108"/>
      <c r="C32" s="108"/>
      <c r="D32" s="108"/>
      <c r="E32" s="108"/>
      <c r="F32" s="196">
        <f>BalanceSheets!F32</f>
        <v>17051000000</v>
      </c>
      <c r="G32" s="196">
        <f>BalanceSheets!$F$32-ProjectedInputs!$B$23</f>
        <v>16445000000</v>
      </c>
      <c r="H32" s="132"/>
      <c r="I32" s="196">
        <f>G32-F32</f>
        <v>-606000000</v>
      </c>
      <c r="J32" s="189">
        <f>G32/F32-1</f>
        <v>-3.5540437510996448E-2</v>
      </c>
    </row>
    <row r="33" spans="1:13" s="14" customFormat="1" ht="13.9" x14ac:dyDescent="0.25">
      <c r="A33" s="113" t="s">
        <v>209</v>
      </c>
      <c r="B33" s="108"/>
      <c r="C33" s="108"/>
      <c r="D33" s="108"/>
      <c r="E33" s="108"/>
      <c r="F33" s="195">
        <f>SUM(F31:F32)</f>
        <v>19463000000</v>
      </c>
      <c r="G33" s="195">
        <f>SUM(G31:G32)</f>
        <v>18857000000</v>
      </c>
      <c r="H33" s="104"/>
      <c r="I33" s="195">
        <f>G33-F33</f>
        <v>-606000000</v>
      </c>
      <c r="J33" s="189">
        <f>G33/F33-1</f>
        <v>-3.1136001644145317E-2</v>
      </c>
    </row>
    <row r="34" spans="1:13" s="14" customFormat="1" ht="13.9" x14ac:dyDescent="0.25">
      <c r="A34" s="88" t="s">
        <v>188</v>
      </c>
      <c r="B34" s="88"/>
      <c r="C34" s="88"/>
      <c r="D34" s="88"/>
      <c r="E34" s="88"/>
      <c r="F34" s="114">
        <f>F28+SUM(F31:F32)</f>
        <v>29326000000</v>
      </c>
      <c r="G34" s="114">
        <f>G28+SUM(G31:G32)</f>
        <v>29481118264.381462</v>
      </c>
      <c r="H34" s="111"/>
      <c r="I34" s="114">
        <f>G34-F34</f>
        <v>155118264.3814621</v>
      </c>
      <c r="J34" s="190">
        <f>G34/F34-1</f>
        <v>5.2894450106206747E-3</v>
      </c>
    </row>
    <row r="35" spans="1:13" s="14" customFormat="1" ht="2.4500000000000002" customHeight="1" x14ac:dyDescent="0.25">
      <c r="F35" s="67"/>
      <c r="G35" s="67"/>
      <c r="H35" s="104"/>
      <c r="I35" s="67"/>
      <c r="J35" s="188"/>
    </row>
    <row r="36" spans="1:13" s="14" customFormat="1" ht="13.9" x14ac:dyDescent="0.25">
      <c r="A36" s="108" t="s">
        <v>35</v>
      </c>
      <c r="F36" s="67">
        <f>BalanceSheets!F36</f>
        <v>68000000</v>
      </c>
      <c r="G36" s="67">
        <f>+F36</f>
        <v>68000000</v>
      </c>
      <c r="H36" s="104"/>
      <c r="I36" s="67">
        <f>G36-F36</f>
        <v>0</v>
      </c>
      <c r="J36" s="189">
        <f>G36/F36-1</f>
        <v>0</v>
      </c>
    </row>
    <row r="37" spans="1:13" s="14" customFormat="1" ht="13.9" x14ac:dyDescent="0.25">
      <c r="A37" s="108" t="s">
        <v>36</v>
      </c>
      <c r="F37" s="197">
        <f>BalanceSheets!F37</f>
        <v>1130000000</v>
      </c>
      <c r="G37" s="197">
        <f>+F37</f>
        <v>1130000000</v>
      </c>
      <c r="H37" s="132"/>
      <c r="I37" s="197">
        <f>G37-F37</f>
        <v>0</v>
      </c>
      <c r="J37" s="189">
        <f>G37/F37-1</f>
        <v>0</v>
      </c>
    </row>
    <row r="38" spans="1:13" s="14" customFormat="1" ht="13.9" x14ac:dyDescent="0.25">
      <c r="A38" s="108" t="s">
        <v>37</v>
      </c>
      <c r="F38" s="196">
        <f>BalanceSheets!F38</f>
        <v>11049000000</v>
      </c>
      <c r="G38" s="196">
        <f>F38+ProjectedIncomeStatement!G18+ProjectedInputs!B32</f>
        <v>14277843917.951012</v>
      </c>
      <c r="H38" s="132"/>
      <c r="I38" s="196">
        <f>G38-F38</f>
        <v>3228843917.9510117</v>
      </c>
      <c r="J38" s="189">
        <f>G38/F38-1</f>
        <v>0.29222951560783894</v>
      </c>
      <c r="L38" s="67"/>
      <c r="M38" s="67"/>
    </row>
    <row r="39" spans="1:13" s="14" customFormat="1" ht="13.9" x14ac:dyDescent="0.25">
      <c r="A39" s="113" t="s">
        <v>90</v>
      </c>
      <c r="B39" s="192"/>
      <c r="C39" s="192"/>
      <c r="D39" s="192"/>
      <c r="E39" s="192"/>
      <c r="F39" s="114">
        <f>SUM(F$36:F$38)</f>
        <v>12247000000</v>
      </c>
      <c r="G39" s="114">
        <f>SUM(G$36:G$38)</f>
        <v>15475843917.951012</v>
      </c>
      <c r="H39" s="111"/>
      <c r="I39" s="114">
        <f>G39-F39</f>
        <v>3228843917.9510117</v>
      </c>
      <c r="J39" s="190">
        <f>G39/F39-1</f>
        <v>0.26364366113750393</v>
      </c>
    </row>
    <row r="40" spans="1:13" s="14" customFormat="1" ht="3" customHeight="1" x14ac:dyDescent="0.25">
      <c r="A40" s="113"/>
      <c r="B40" s="192"/>
      <c r="C40" s="192"/>
      <c r="D40" s="192"/>
      <c r="E40" s="192"/>
      <c r="F40" s="194"/>
      <c r="G40" s="194"/>
      <c r="H40" s="111"/>
      <c r="I40" s="194"/>
      <c r="J40" s="190"/>
    </row>
    <row r="41" spans="1:13" s="14" customFormat="1" ht="27.6" customHeight="1" thickBot="1" x14ac:dyDescent="0.3">
      <c r="A41" s="115" t="s">
        <v>189</v>
      </c>
      <c r="B41" s="115"/>
      <c r="C41" s="115"/>
      <c r="D41" s="115"/>
      <c r="E41" s="115"/>
      <c r="F41" s="110">
        <f>SUM(F$34, F$39)</f>
        <v>41573000000</v>
      </c>
      <c r="G41" s="110">
        <f>SUM(G$34, G$39)</f>
        <v>44956962182.332474</v>
      </c>
      <c r="H41" s="111"/>
      <c r="I41" s="110">
        <f>G41-F41</f>
        <v>3383962182.3324738</v>
      </c>
      <c r="J41" s="190">
        <f>G41/F41-1</f>
        <v>8.1398075249139445E-2</v>
      </c>
    </row>
    <row r="42" spans="1:13" s="14" customFormat="1" ht="3" customHeight="1" thickTop="1" x14ac:dyDescent="0.25">
      <c r="H42" s="131"/>
      <c r="I42" s="103"/>
      <c r="J42" s="103"/>
    </row>
    <row r="43" spans="1:13" ht="13.9" x14ac:dyDescent="0.25">
      <c r="A43" s="1" t="s">
        <v>38</v>
      </c>
      <c r="F43" s="6" t="str">
        <f>IF(ABS(F$20-F$41)&gt;1000000, "Error", "OK")</f>
        <v>OK</v>
      </c>
      <c r="G43" s="6" t="str">
        <f>IF(ABS(G$20-G$41)&gt;1000000, "Error", "OK")</f>
        <v>OK</v>
      </c>
      <c r="H43" s="42"/>
      <c r="I43" s="180" t="str">
        <f>IF(ABS(I$20-I$41)&gt;1000000, "Error", "OK")</f>
        <v>OK</v>
      </c>
    </row>
    <row r="44" spans="1:13" ht="13.9" x14ac:dyDescent="0.25">
      <c r="F44" s="2"/>
      <c r="G44" s="2"/>
      <c r="H44" s="4"/>
    </row>
  </sheetData>
  <mergeCells count="6">
    <mergeCell ref="A1:J1"/>
    <mergeCell ref="A2:J2"/>
    <mergeCell ref="A3:J3"/>
    <mergeCell ref="I6:J6"/>
    <mergeCell ref="I5:J5"/>
    <mergeCell ref="A4:G4"/>
  </mergeCells>
  <conditionalFormatting sqref="G43:H43">
    <cfRule type="containsText" dxfId="11" priority="7" operator="containsText" text="Error">
      <formula>NOT(ISERROR(SEARCH("Error",G43)))</formula>
    </cfRule>
    <cfRule type="containsText" dxfId="10" priority="8" operator="containsText" text="OK">
      <formula>NOT(ISERROR(SEARCH("OK",G43)))</formula>
    </cfRule>
  </conditionalFormatting>
  <conditionalFormatting sqref="F43">
    <cfRule type="containsText" dxfId="9" priority="5" operator="containsText" text="Error">
      <formula>NOT(ISERROR(SEARCH("Error",F43)))</formula>
    </cfRule>
    <cfRule type="containsText" dxfId="8" priority="6" operator="containsText" text="OK">
      <formula>NOT(ISERROR(SEARCH("OK",F43)))</formula>
    </cfRule>
  </conditionalFormatting>
  <conditionalFormatting sqref="I43">
    <cfRule type="containsText" dxfId="7" priority="1" operator="containsText" text="Error">
      <formula>NOT(ISERROR(SEARCH("Error",I43)))</formula>
    </cfRule>
    <cfRule type="containsText" dxfId="6" priority="2" operator="containsText" text="OK">
      <formula>NOT(ISERROR(SEARCH("OK",I43)))</formula>
    </cfRule>
  </conditionalFormatting>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K75"/>
  <sheetViews>
    <sheetView showGridLines="0" workbookViewId="0">
      <selection activeCell="M48" sqref="M48"/>
    </sheetView>
  </sheetViews>
  <sheetFormatPr defaultColWidth="9.140625" defaultRowHeight="15" x14ac:dyDescent="0.25"/>
  <cols>
    <col min="1" max="1" width="42.28515625" style="1" customWidth="1"/>
    <col min="2" max="5" width="9.7109375" style="1" hidden="1" customWidth="1"/>
    <col min="6" max="6" width="8.7109375" style="1" bestFit="1" customWidth="1"/>
    <col min="7" max="7" width="8.7109375" style="1" customWidth="1"/>
    <col min="8" max="8" width="0.7109375" customWidth="1"/>
    <col min="9" max="9" width="15" style="1" customWidth="1"/>
    <col min="10" max="16384" width="9.140625" style="1"/>
  </cols>
  <sheetData>
    <row r="1" spans="1:11" ht="28.15" customHeight="1" x14ac:dyDescent="0.25">
      <c r="A1" s="330" t="s">
        <v>236</v>
      </c>
      <c r="B1" s="330"/>
      <c r="C1" s="330"/>
      <c r="D1" s="330"/>
      <c r="E1" s="330"/>
      <c r="F1" s="330"/>
      <c r="G1" s="330"/>
      <c r="H1" s="330"/>
      <c r="I1" s="330"/>
      <c r="J1" s="5"/>
    </row>
    <row r="2" spans="1:11" ht="20.45" customHeight="1" x14ac:dyDescent="0.4">
      <c r="A2" s="329" t="s">
        <v>88</v>
      </c>
      <c r="B2" s="329"/>
      <c r="C2" s="329"/>
      <c r="D2" s="329"/>
      <c r="E2" s="329"/>
      <c r="F2" s="329"/>
      <c r="G2" s="329"/>
      <c r="H2" s="329"/>
      <c r="I2" s="329"/>
      <c r="J2" s="5"/>
    </row>
    <row r="3" spans="1:11" ht="13.9" customHeight="1" x14ac:dyDescent="0.25">
      <c r="A3" s="327" t="s">
        <v>92</v>
      </c>
      <c r="B3" s="327"/>
      <c r="C3" s="327"/>
      <c r="D3" s="327"/>
      <c r="E3" s="327"/>
      <c r="F3" s="327"/>
      <c r="G3" s="327"/>
      <c r="H3" s="327"/>
      <c r="I3" s="327"/>
      <c r="J3" s="200"/>
    </row>
    <row r="4" spans="1:11" s="131" customFormat="1" ht="15.6" customHeight="1" x14ac:dyDescent="0.25">
      <c r="A4" s="328" t="s">
        <v>208</v>
      </c>
      <c r="B4" s="328"/>
      <c r="C4" s="328"/>
      <c r="D4" s="328"/>
      <c r="E4" s="328"/>
      <c r="F4" s="328"/>
      <c r="G4" s="328"/>
      <c r="H4" s="328"/>
      <c r="I4" s="328"/>
      <c r="J4" s="143"/>
    </row>
    <row r="5" spans="1:11" s="131" customFormat="1" ht="11.45" customHeight="1" x14ac:dyDescent="0.3">
      <c r="A5" s="156" t="s">
        <v>1</v>
      </c>
      <c r="B5" s="156"/>
      <c r="C5" s="156"/>
      <c r="D5" s="156"/>
      <c r="E5" s="156"/>
      <c r="F5" s="156"/>
      <c r="G5" s="156"/>
      <c r="H5"/>
      <c r="I5" s="143"/>
      <c r="J5" s="143"/>
    </row>
    <row r="6" spans="1:11" s="131" customFormat="1" ht="1.1499999999999999" hidden="1" customHeight="1" x14ac:dyDescent="0.3">
      <c r="A6" s="201"/>
      <c r="B6" s="201"/>
      <c r="C6" s="201"/>
      <c r="D6" s="170"/>
      <c r="E6" s="179"/>
      <c r="F6" s="143"/>
      <c r="G6" s="170"/>
      <c r="H6"/>
      <c r="I6" s="143"/>
      <c r="J6" s="143"/>
    </row>
    <row r="7" spans="1:11" s="131" customFormat="1" ht="12.6" customHeight="1" thickBot="1" x14ac:dyDescent="0.35">
      <c r="B7" s="158"/>
      <c r="C7" s="158"/>
      <c r="D7" s="170"/>
      <c r="E7" s="179"/>
      <c r="F7" s="210">
        <f>'Financial Statement Inputs'!$F$16</f>
        <v>2013</v>
      </c>
      <c r="G7" s="210">
        <f>ProjectedInputs!B6</f>
        <v>2014</v>
      </c>
      <c r="H7"/>
      <c r="I7" s="156" t="s">
        <v>56</v>
      </c>
      <c r="J7" s="143"/>
    </row>
    <row r="8" spans="1:11" s="131" customFormat="1" ht="14.45" x14ac:dyDescent="0.3">
      <c r="A8" s="158" t="s">
        <v>93</v>
      </c>
      <c r="B8" s="158"/>
      <c r="C8" s="158"/>
      <c r="D8" s="170"/>
      <c r="E8" s="179"/>
      <c r="F8" s="170"/>
      <c r="G8" s="170"/>
      <c r="H8"/>
      <c r="I8" s="156"/>
      <c r="J8" s="143"/>
    </row>
    <row r="9" spans="1:11" s="131" customFormat="1" ht="12.6" customHeight="1" x14ac:dyDescent="0.3">
      <c r="A9" s="143" t="s">
        <v>9</v>
      </c>
      <c r="B9" s="143"/>
      <c r="C9" s="143"/>
      <c r="D9" s="136"/>
      <c r="E9" s="136"/>
      <c r="F9" s="136">
        <f>IncomeStatements!F18</f>
        <v>2910000000</v>
      </c>
      <c r="G9" s="136">
        <f>ProjectedIncomeStatement!G18</f>
        <v>3478843917.9510126</v>
      </c>
      <c r="H9"/>
      <c r="I9" s="143" t="s">
        <v>57</v>
      </c>
      <c r="J9" s="143"/>
    </row>
    <row r="10" spans="1:11" s="131" customFormat="1" ht="25.9" customHeight="1" x14ac:dyDescent="0.3">
      <c r="A10" s="202" t="s">
        <v>40</v>
      </c>
      <c r="B10" s="202"/>
      <c r="C10" s="202"/>
      <c r="D10" s="143"/>
      <c r="E10" s="143"/>
      <c r="F10" s="143"/>
      <c r="G10" s="143"/>
      <c r="H10"/>
      <c r="I10" s="143"/>
      <c r="J10" s="143"/>
    </row>
    <row r="11" spans="1:11" s="131" customFormat="1" ht="14.45" x14ac:dyDescent="0.3">
      <c r="A11" s="203" t="s">
        <v>41</v>
      </c>
      <c r="B11" s="203"/>
      <c r="C11" s="203"/>
      <c r="D11" s="143"/>
      <c r="E11" s="143"/>
      <c r="F11" s="143"/>
      <c r="G11" s="143"/>
      <c r="H11"/>
      <c r="I11" s="143"/>
      <c r="J11" s="143"/>
    </row>
    <row r="12" spans="1:11" s="131" customFormat="1" ht="14.45" x14ac:dyDescent="0.3">
      <c r="A12" s="203" t="s">
        <v>43</v>
      </c>
      <c r="B12" s="203"/>
      <c r="C12" s="203"/>
      <c r="D12" s="136"/>
      <c r="E12" s="136"/>
      <c r="F12" s="136">
        <f>IncomeStatements!F13</f>
        <v>1510000000</v>
      </c>
      <c r="G12" s="136">
        <f>+ProjectedIncomeStatement!G13</f>
        <v>1845448143.40589</v>
      </c>
      <c r="H12"/>
      <c r="I12" s="143" t="s">
        <v>57</v>
      </c>
      <c r="J12" s="143"/>
    </row>
    <row r="13" spans="1:11" s="131" customFormat="1" ht="12.6" customHeight="1" x14ac:dyDescent="0.3">
      <c r="A13" s="201" t="s">
        <v>42</v>
      </c>
      <c r="B13" s="201"/>
      <c r="C13" s="201"/>
      <c r="D13" s="136"/>
      <c r="E13" s="136"/>
      <c r="F13" s="136"/>
      <c r="G13" s="136"/>
      <c r="H13"/>
      <c r="I13" s="143"/>
      <c r="J13" s="143"/>
    </row>
    <row r="14" spans="1:11" s="131" customFormat="1" x14ac:dyDescent="0.25">
      <c r="A14" s="208" t="s">
        <v>109</v>
      </c>
      <c r="B14" s="204"/>
      <c r="C14" s="204"/>
      <c r="D14" s="136"/>
      <c r="E14" s="136"/>
      <c r="F14" s="136">
        <f>-(BalanceSheets!F10-BalanceSheets!E10)</f>
        <v>-999000000</v>
      </c>
      <c r="G14" s="136">
        <f>-(ProjectedBalanceSheet!G10-ProjectedBalanceSheet!F10)</f>
        <v>-706320000</v>
      </c>
      <c r="H14"/>
      <c r="I14" s="143" t="s">
        <v>121</v>
      </c>
      <c r="J14" s="143"/>
      <c r="K14" s="240"/>
    </row>
    <row r="15" spans="1:11" s="131" customFormat="1" x14ac:dyDescent="0.25">
      <c r="A15" s="242" t="s">
        <v>112</v>
      </c>
      <c r="B15" s="205"/>
      <c r="C15" s="205"/>
      <c r="D15" s="136"/>
      <c r="E15" s="136"/>
      <c r="F15" s="198">
        <f>-(BalanceSheets!F11-BalanceSheets!E11)</f>
        <v>-1476000000</v>
      </c>
      <c r="G15" s="198">
        <f>-(ProjectedBalanceSheet!G11-ProjectedBalanceSheet!F11)</f>
        <v>-497951999.99999905</v>
      </c>
      <c r="H15"/>
      <c r="I15" s="143" t="s">
        <v>121</v>
      </c>
      <c r="J15" s="143"/>
    </row>
    <row r="16" spans="1:11" s="131" customFormat="1" x14ac:dyDescent="0.25">
      <c r="A16" s="208" t="s">
        <v>113</v>
      </c>
      <c r="B16" s="204"/>
      <c r="C16" s="204"/>
      <c r="D16" s="136"/>
      <c r="E16" s="136"/>
      <c r="F16" s="198">
        <f>-(BalanceSheets!F12-BalanceSheets!E12)</f>
        <v>699000000</v>
      </c>
      <c r="G16" s="198">
        <f>-(ProjectedBalanceSheet!G12-ProjectedBalanceSheet!F12)</f>
        <v>0</v>
      </c>
      <c r="H16"/>
      <c r="I16" s="143" t="s">
        <v>121</v>
      </c>
      <c r="J16" s="143"/>
    </row>
    <row r="17" spans="1:11" s="131" customFormat="1" x14ac:dyDescent="0.25">
      <c r="A17" s="208" t="s">
        <v>114</v>
      </c>
      <c r="B17" s="204"/>
      <c r="C17" s="204"/>
      <c r="D17" s="136"/>
      <c r="E17" s="136"/>
      <c r="F17" s="198">
        <f>BalanceSheets!F24-BalanceSheets!E24</f>
        <v>1483000000</v>
      </c>
      <c r="G17" s="198">
        <f>(ProjectedBalanceSheet!G24-ProjectedBalanceSheet!F24)</f>
        <v>596080000</v>
      </c>
      <c r="H17"/>
      <c r="I17" s="143" t="s">
        <v>122</v>
      </c>
      <c r="J17" s="143"/>
    </row>
    <row r="18" spans="1:11" s="131" customFormat="1" x14ac:dyDescent="0.25">
      <c r="A18" s="243" t="s">
        <v>110</v>
      </c>
      <c r="B18" s="206"/>
      <c r="C18" s="206"/>
      <c r="D18" s="136"/>
      <c r="E18" s="136"/>
      <c r="F18" s="198">
        <f>BalanceSheets!F26-BalanceSheets!E26</f>
        <v>543000000</v>
      </c>
      <c r="G18" s="198">
        <f>(ProjectedBalanceSheet!G26-ProjectedBalanceSheet!F26)</f>
        <v>93834053.314612389</v>
      </c>
      <c r="H18"/>
      <c r="I18" s="143" t="s">
        <v>122</v>
      </c>
      <c r="J18" s="143"/>
    </row>
    <row r="19" spans="1:11" s="131" customFormat="1" ht="30" x14ac:dyDescent="0.25">
      <c r="A19" s="243" t="s">
        <v>111</v>
      </c>
      <c r="B19" s="206"/>
      <c r="C19" s="206"/>
      <c r="D19" s="136"/>
      <c r="E19" s="136"/>
      <c r="F19" s="199">
        <f>BalanceSheets!F27-BalanceSheets!E27</f>
        <v>-963000000</v>
      </c>
      <c r="G19" s="199">
        <f>(ProjectedBalanceSheet!G27-ProjectedBalanceSheet!F27)</f>
        <v>71204211.066846728</v>
      </c>
      <c r="H19"/>
      <c r="I19" s="143" t="s">
        <v>122</v>
      </c>
      <c r="J19" s="143"/>
    </row>
    <row r="20" spans="1:11" s="131" customFormat="1" ht="14.45" x14ac:dyDescent="0.3">
      <c r="A20" s="162" t="s">
        <v>97</v>
      </c>
      <c r="B20" s="162"/>
      <c r="C20" s="162"/>
      <c r="D20" s="163"/>
      <c r="E20" s="163"/>
      <c r="F20" s="163">
        <f>(F9+F12)+SUM(F14:F19)</f>
        <v>3707000000</v>
      </c>
      <c r="G20" s="163">
        <f>(G9+G12)+SUM(G14:G19)</f>
        <v>4881138325.7383633</v>
      </c>
      <c r="H20"/>
      <c r="I20" s="143"/>
      <c r="J20" s="143"/>
    </row>
    <row r="21" spans="1:11" s="131" customFormat="1" ht="0.6" customHeight="1" x14ac:dyDescent="0.3">
      <c r="A21" s="161"/>
      <c r="B21" s="161"/>
      <c r="C21" s="161"/>
      <c r="D21" s="136"/>
      <c r="E21" s="136"/>
      <c r="F21" s="136"/>
      <c r="G21" s="136"/>
      <c r="H21"/>
      <c r="I21" s="143"/>
      <c r="J21" s="143"/>
    </row>
    <row r="22" spans="1:11" s="131" customFormat="1" ht="14.45" x14ac:dyDescent="0.3">
      <c r="A22" s="158" t="s">
        <v>95</v>
      </c>
      <c r="B22" s="158"/>
      <c r="C22" s="158"/>
      <c r="D22" s="136"/>
      <c r="E22" s="136"/>
      <c r="F22" s="136"/>
      <c r="G22" s="136"/>
      <c r="H22"/>
      <c r="I22" s="143"/>
      <c r="J22" s="143"/>
    </row>
    <row r="23" spans="1:11" s="131" customFormat="1" x14ac:dyDescent="0.25">
      <c r="A23" s="164" t="s">
        <v>55</v>
      </c>
      <c r="B23" s="164"/>
      <c r="C23" s="164"/>
      <c r="D23" s="136"/>
      <c r="E23" s="136"/>
      <c r="F23" s="136">
        <f>-(BalanceSheets!F15-BalanceSheets!E15)</f>
        <v>-4858000000</v>
      </c>
      <c r="G23" s="136">
        <f>-(ProjectedBalanceSheet!G15-ProjectedBalanceSheet!F15)</f>
        <v>-5907328000</v>
      </c>
      <c r="H23"/>
      <c r="I23" s="143" t="s">
        <v>245</v>
      </c>
      <c r="J23" s="143"/>
    </row>
    <row r="24" spans="1:11" s="131" customFormat="1" ht="13.15" customHeight="1" x14ac:dyDescent="0.3">
      <c r="A24" s="154" t="s">
        <v>94</v>
      </c>
      <c r="B24" s="154"/>
      <c r="C24" s="154"/>
      <c r="D24" s="136"/>
      <c r="E24" s="136"/>
      <c r="F24" s="136"/>
      <c r="G24" s="136"/>
      <c r="H24"/>
      <c r="I24" s="143"/>
      <c r="J24" s="143"/>
    </row>
    <row r="25" spans="1:11" s="131" customFormat="1" x14ac:dyDescent="0.25">
      <c r="A25" s="143" t="s">
        <v>78</v>
      </c>
      <c r="B25" s="143"/>
      <c r="C25" s="143"/>
      <c r="D25" s="136"/>
      <c r="E25" s="136"/>
      <c r="F25" s="136">
        <f>-(BalanceSheets!F19-BalanceSheets!E19)</f>
        <v>-171000000</v>
      </c>
      <c r="G25" s="136">
        <f>-(ProjectedBalanceSheet!G19-ProjectedBalanceSheet!F19)</f>
        <v>0</v>
      </c>
      <c r="H25"/>
      <c r="I25" s="143" t="s">
        <v>245</v>
      </c>
      <c r="J25" s="143"/>
    </row>
    <row r="26" spans="1:11" s="131" customFormat="1" ht="30" x14ac:dyDescent="0.25">
      <c r="A26" s="161" t="s">
        <v>229</v>
      </c>
      <c r="B26" s="161"/>
      <c r="C26" s="161"/>
      <c r="D26" s="136"/>
      <c r="E26" s="136"/>
      <c r="F26" s="199">
        <f>BalanceSheets!F31-BalanceSheets!E31</f>
        <v>416000000</v>
      </c>
      <c r="G26" s="199">
        <f>(ProjectedBalanceSheet!G31-ProjectedBalanceSheet!F31)</f>
        <v>0</v>
      </c>
      <c r="H26"/>
      <c r="I26" s="143" t="s">
        <v>122</v>
      </c>
      <c r="J26" s="143"/>
      <c r="K26" s="240"/>
    </row>
    <row r="27" spans="1:11" s="131" customFormat="1" ht="13.9" customHeight="1" x14ac:dyDescent="0.3">
      <c r="A27" s="162" t="s">
        <v>99</v>
      </c>
      <c r="B27" s="162"/>
      <c r="C27" s="162"/>
      <c r="D27" s="163"/>
      <c r="E27" s="163"/>
      <c r="F27" s="163">
        <f>F23+SUM(F25:F26)</f>
        <v>-4613000000</v>
      </c>
      <c r="G27" s="163">
        <f>G23+SUM(G25:G26)</f>
        <v>-5907328000</v>
      </c>
      <c r="H27"/>
      <c r="I27" s="156"/>
      <c r="J27" s="156"/>
    </row>
    <row r="28" spans="1:11" s="131" customFormat="1" ht="2.4500000000000002" hidden="1" customHeight="1" x14ac:dyDescent="0.3">
      <c r="A28" s="161"/>
      <c r="B28" s="161"/>
      <c r="C28" s="161"/>
      <c r="D28" s="136"/>
      <c r="E28" s="136"/>
      <c r="F28" s="136"/>
      <c r="G28" s="136"/>
      <c r="H28"/>
      <c r="I28" s="143"/>
      <c r="J28" s="143"/>
    </row>
    <row r="29" spans="1:11" s="131" customFormat="1" ht="14.45" x14ac:dyDescent="0.3">
      <c r="A29" s="158" t="s">
        <v>96</v>
      </c>
      <c r="B29" s="158"/>
      <c r="C29" s="158"/>
      <c r="D29" s="136"/>
      <c r="E29" s="136"/>
      <c r="F29" s="136"/>
      <c r="G29" s="136"/>
      <c r="H29"/>
      <c r="I29" s="143"/>
      <c r="J29" s="143"/>
    </row>
    <row r="30" spans="1:11" s="131" customFormat="1" ht="30" x14ac:dyDescent="0.25">
      <c r="A30" s="241" t="s">
        <v>49</v>
      </c>
      <c r="B30" s="207"/>
      <c r="C30" s="207"/>
      <c r="D30" s="136"/>
      <c r="E30" s="136"/>
      <c r="F30" s="136">
        <f>(BalanceSheets!F25-BalanceSheets!E25)+(BalanceSheets!F32-BalanceSheets!E32)</f>
        <v>4448000000</v>
      </c>
      <c r="G30" s="136">
        <f>+ProjectedBalanceSheet!I25+ProjectedBalanceSheet!I32</f>
        <v>-606000000</v>
      </c>
      <c r="H30"/>
      <c r="I30" s="143" t="s">
        <v>122</v>
      </c>
      <c r="J30" s="143"/>
    </row>
    <row r="31" spans="1:11" s="131" customFormat="1" ht="14.45" x14ac:dyDescent="0.3">
      <c r="A31" s="203" t="s">
        <v>54</v>
      </c>
      <c r="B31" s="164"/>
      <c r="C31" s="164"/>
      <c r="D31" s="136"/>
      <c r="E31" s="136"/>
      <c r="F31" s="199">
        <f>'Financial Statement Inputs'!F68</f>
        <v>-250000000</v>
      </c>
      <c r="G31" s="199">
        <f>ProjectedInputs!B32</f>
        <v>-250000000</v>
      </c>
      <c r="H31"/>
      <c r="I31" s="143" t="s">
        <v>244</v>
      </c>
      <c r="J31" s="143"/>
    </row>
    <row r="32" spans="1:11" s="131" customFormat="1" ht="12.6" customHeight="1" x14ac:dyDescent="0.3">
      <c r="A32" s="167" t="s">
        <v>98</v>
      </c>
      <c r="B32" s="167"/>
      <c r="C32" s="167"/>
      <c r="D32" s="163"/>
      <c r="E32" s="163"/>
      <c r="F32" s="163">
        <f>SUM(F30:F31)</f>
        <v>4198000000</v>
      </c>
      <c r="G32" s="163">
        <f>SUM(G30:G31)</f>
        <v>-856000000</v>
      </c>
      <c r="H32"/>
      <c r="I32" s="156"/>
      <c r="J32" s="156"/>
    </row>
    <row r="33" spans="1:9" s="131" customFormat="1" ht="0.6" hidden="1" customHeight="1" x14ac:dyDescent="0.3">
      <c r="H33"/>
    </row>
    <row r="34" spans="1:9" s="131" customFormat="1" ht="14.45" x14ac:dyDescent="0.3">
      <c r="A34" s="133" t="s">
        <v>100</v>
      </c>
      <c r="B34" s="133"/>
      <c r="C34" s="133"/>
      <c r="H34"/>
      <c r="I34" s="131" t="s">
        <v>124</v>
      </c>
    </row>
    <row r="35" spans="1:9" s="131" customFormat="1" ht="14.45" x14ac:dyDescent="0.3">
      <c r="A35" s="168" t="s">
        <v>50</v>
      </c>
      <c r="B35" s="168"/>
      <c r="C35" s="168"/>
      <c r="D35" s="104"/>
      <c r="E35" s="104"/>
      <c r="F35" s="104">
        <f>CashFlows!E36</f>
        <v>3515000000</v>
      </c>
      <c r="G35" s="104">
        <f>F36</f>
        <v>6807000000</v>
      </c>
      <c r="H35"/>
      <c r="I35" s="131" t="s">
        <v>123</v>
      </c>
    </row>
    <row r="36" spans="1:9" s="131" customFormat="1" thickBot="1" x14ac:dyDescent="0.35">
      <c r="A36" s="168" t="s">
        <v>52</v>
      </c>
      <c r="B36" s="168"/>
      <c r="C36" s="168"/>
      <c r="D36" s="104"/>
      <c r="E36" s="104"/>
      <c r="F36" s="252">
        <f>(F20+F27+F32)+F35</f>
        <v>6807000000</v>
      </c>
      <c r="G36" s="252">
        <f>(G20+G27+G32)+G35</f>
        <v>4924810325.7383633</v>
      </c>
      <c r="H36"/>
    </row>
    <row r="37" spans="1:9" s="131" customFormat="1" thickTop="1" x14ac:dyDescent="0.3">
      <c r="A37" s="168" t="s">
        <v>51</v>
      </c>
      <c r="B37" s="168"/>
      <c r="C37" s="168"/>
      <c r="D37" s="104"/>
      <c r="E37" s="104"/>
      <c r="F37" s="196">
        <f>'Financial Statement Inputs'!F69</f>
        <v>250000000</v>
      </c>
      <c r="G37" s="196">
        <f>'Financial Statement Inputs'!F69</f>
        <v>250000000</v>
      </c>
      <c r="H37"/>
      <c r="I37" s="131" t="s">
        <v>239</v>
      </c>
    </row>
    <row r="38" spans="1:9" s="131" customFormat="1" ht="14.45" x14ac:dyDescent="0.3">
      <c r="A38" s="168" t="s">
        <v>53</v>
      </c>
      <c r="B38" s="168"/>
      <c r="C38" s="168"/>
      <c r="D38" s="104"/>
      <c r="E38" s="104"/>
      <c r="F38" s="111">
        <f>F36-F37</f>
        <v>6557000000</v>
      </c>
      <c r="G38" s="111">
        <f>G36-G37</f>
        <v>4674810325.7383633</v>
      </c>
      <c r="H38"/>
    </row>
    <row r="39" spans="1:9" s="131" customFormat="1" ht="3" hidden="1" customHeight="1" x14ac:dyDescent="0.3">
      <c r="A39" s="168"/>
      <c r="B39" s="168"/>
      <c r="C39" s="168"/>
      <c r="D39" s="104"/>
      <c r="E39" s="104"/>
      <c r="F39" s="104"/>
      <c r="G39" s="104"/>
      <c r="H39"/>
    </row>
    <row r="40" spans="1:9" s="131" customFormat="1" ht="14.45" x14ac:dyDescent="0.3">
      <c r="A40" s="142" t="s">
        <v>63</v>
      </c>
      <c r="B40" s="142"/>
      <c r="C40" s="142"/>
      <c r="D40" s="104"/>
      <c r="E40" s="104"/>
      <c r="F40" s="104">
        <f>BalanceSheets!F9</f>
        <v>6807000000</v>
      </c>
      <c r="G40" s="104">
        <f>+ProjectedBalanceSheet!G9</f>
        <v>4924810325.7383633</v>
      </c>
      <c r="H40"/>
    </row>
    <row r="41" spans="1:9" s="131" customFormat="1" ht="14.45" x14ac:dyDescent="0.3">
      <c r="A41" s="142" t="s">
        <v>62</v>
      </c>
      <c r="B41" s="142"/>
      <c r="C41" s="142"/>
      <c r="D41" s="169"/>
      <c r="E41" s="169"/>
      <c r="F41" s="169" t="str">
        <f>IF(ABS(F$36-F$40)&gt;1000000, "Error", "OK")</f>
        <v>OK</v>
      </c>
      <c r="G41" s="169" t="str">
        <f>IF(ABS(G$36-G$40)&gt;1000000, "Error", "OK")</f>
        <v>OK</v>
      </c>
      <c r="H41"/>
    </row>
    <row r="42" spans="1:9" s="131" customFormat="1" x14ac:dyDescent="0.25">
      <c r="H42"/>
    </row>
    <row r="43" spans="1:9" s="131" customFormat="1" x14ac:dyDescent="0.25">
      <c r="H43"/>
    </row>
    <row r="44" spans="1:9" s="131" customFormat="1" x14ac:dyDescent="0.25">
      <c r="A44" s="208"/>
      <c r="B44" s="208"/>
      <c r="C44" s="208"/>
      <c r="H44"/>
    </row>
    <row r="45" spans="1:9" s="131" customFormat="1" x14ac:dyDescent="0.25">
      <c r="A45" s="208"/>
      <c r="B45" s="208"/>
      <c r="C45" s="208"/>
      <c r="H45"/>
    </row>
    <row r="46" spans="1:9" s="131" customFormat="1" x14ac:dyDescent="0.25">
      <c r="A46" s="208"/>
      <c r="B46" s="208"/>
      <c r="C46" s="208"/>
      <c r="H46"/>
    </row>
    <row r="47" spans="1:9" s="131" customFormat="1" x14ac:dyDescent="0.25">
      <c r="A47" s="208"/>
      <c r="B47" s="208"/>
      <c r="C47" s="208"/>
      <c r="H47"/>
    </row>
    <row r="48" spans="1:9" s="131" customFormat="1" x14ac:dyDescent="0.25">
      <c r="A48" s="209"/>
      <c r="B48" s="209"/>
      <c r="C48" s="209"/>
      <c r="H48"/>
    </row>
    <row r="49" spans="1:8" s="131" customFormat="1" x14ac:dyDescent="0.25">
      <c r="A49" s="209"/>
      <c r="B49" s="209"/>
      <c r="C49" s="209"/>
      <c r="H49"/>
    </row>
    <row r="50" spans="1:8" s="131" customFormat="1" x14ac:dyDescent="0.25">
      <c r="A50" s="208"/>
      <c r="B50" s="208"/>
      <c r="C50" s="208"/>
      <c r="H50"/>
    </row>
    <row r="51" spans="1:8" s="131" customFormat="1" x14ac:dyDescent="0.25">
      <c r="A51" s="208"/>
      <c r="B51" s="208"/>
      <c r="C51" s="208"/>
      <c r="H51"/>
    </row>
    <row r="52" spans="1:8" s="131" customFormat="1" x14ac:dyDescent="0.25">
      <c r="A52" s="209"/>
      <c r="B52" s="209"/>
      <c r="C52" s="209"/>
      <c r="H52"/>
    </row>
    <row r="53" spans="1:8" s="131" customFormat="1" x14ac:dyDescent="0.25">
      <c r="A53" s="208"/>
      <c r="B53" s="208"/>
      <c r="C53" s="208"/>
      <c r="H53"/>
    </row>
    <row r="54" spans="1:8" s="131" customFormat="1" x14ac:dyDescent="0.25">
      <c r="A54" s="208"/>
      <c r="B54" s="208"/>
      <c r="C54" s="208"/>
      <c r="H54"/>
    </row>
    <row r="55" spans="1:8" s="131" customFormat="1" x14ac:dyDescent="0.25">
      <c r="A55" s="208"/>
      <c r="B55" s="208"/>
      <c r="C55" s="208"/>
      <c r="H55"/>
    </row>
    <row r="56" spans="1:8" s="131" customFormat="1" x14ac:dyDescent="0.25">
      <c r="H56"/>
    </row>
    <row r="57" spans="1:8" s="131" customFormat="1" x14ac:dyDescent="0.25">
      <c r="H57"/>
    </row>
    <row r="58" spans="1:8" s="131" customFormat="1" x14ac:dyDescent="0.25">
      <c r="H58"/>
    </row>
    <row r="59" spans="1:8" s="131" customFormat="1" x14ac:dyDescent="0.25">
      <c r="H59"/>
    </row>
    <row r="60" spans="1:8" s="131" customFormat="1" x14ac:dyDescent="0.25">
      <c r="H60"/>
    </row>
    <row r="61" spans="1:8" s="131" customFormat="1" x14ac:dyDescent="0.25">
      <c r="H61"/>
    </row>
    <row r="62" spans="1:8" s="131" customFormat="1" x14ac:dyDescent="0.25">
      <c r="H62"/>
    </row>
    <row r="63" spans="1:8" s="131" customFormat="1" x14ac:dyDescent="0.25">
      <c r="H63"/>
    </row>
    <row r="64" spans="1:8" s="131" customFormat="1" x14ac:dyDescent="0.25">
      <c r="H64"/>
    </row>
    <row r="65" spans="8:8" s="131" customFormat="1" x14ac:dyDescent="0.25">
      <c r="H65"/>
    </row>
    <row r="66" spans="8:8" s="131" customFormat="1" x14ac:dyDescent="0.25">
      <c r="H66"/>
    </row>
    <row r="67" spans="8:8" s="131" customFormat="1" x14ac:dyDescent="0.25">
      <c r="H67"/>
    </row>
    <row r="68" spans="8:8" s="131" customFormat="1" x14ac:dyDescent="0.25">
      <c r="H68"/>
    </row>
    <row r="69" spans="8:8" s="131" customFormat="1" x14ac:dyDescent="0.25">
      <c r="H69"/>
    </row>
    <row r="70" spans="8:8" s="131" customFormat="1" x14ac:dyDescent="0.25">
      <c r="H70"/>
    </row>
    <row r="71" spans="8:8" s="131" customFormat="1" x14ac:dyDescent="0.25">
      <c r="H71"/>
    </row>
    <row r="72" spans="8:8" s="131" customFormat="1" x14ac:dyDescent="0.25">
      <c r="H72"/>
    </row>
    <row r="73" spans="8:8" s="131" customFormat="1" x14ac:dyDescent="0.25">
      <c r="H73"/>
    </row>
    <row r="74" spans="8:8" s="131" customFormat="1" x14ac:dyDescent="0.25">
      <c r="H74"/>
    </row>
    <row r="75" spans="8:8" s="131" customFormat="1" x14ac:dyDescent="0.25">
      <c r="H75"/>
    </row>
  </sheetData>
  <mergeCells count="4">
    <mergeCell ref="A1:I1"/>
    <mergeCell ref="A2:I2"/>
    <mergeCell ref="A3:I3"/>
    <mergeCell ref="A4:I4"/>
  </mergeCells>
  <conditionalFormatting sqref="D41:F41">
    <cfRule type="containsText" dxfId="5" priority="5" operator="containsText" text="Error">
      <formula>NOT(ISERROR(SEARCH("Error",D41)))</formula>
    </cfRule>
    <cfRule type="containsText" dxfId="4" priority="6" operator="containsText" text="OK">
      <formula>NOT(ISERROR(SEARCH("OK",D41)))</formula>
    </cfRule>
  </conditionalFormatting>
  <conditionalFormatting sqref="G41">
    <cfRule type="containsText" dxfId="3" priority="1" operator="containsText" text="Error">
      <formula>NOT(ISERROR(SEARCH("Error",G41)))</formula>
    </cfRule>
    <cfRule type="containsText" dxfId="2" priority="2" operator="containsText" text="OK">
      <formula>NOT(ISERROR(SEARCH("OK",G41)))</formula>
    </cfRule>
  </conditionalFormatting>
  <pageMargins left="0.7" right="0.7" top="0.75" bottom="0.75" header="0.3" footer="0.3"/>
  <pageSetup orientation="portrait"/>
  <drawing r:id="rId1"/>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A037FB9E344D4C90A8431F400EE5CF" ma:contentTypeVersion="8" ma:contentTypeDescription="Create a new document." ma:contentTypeScope="" ma:versionID="5c12a94872e75fa30f8771efcac8ae20">
  <xsd:schema xmlns:xsd="http://www.w3.org/2001/XMLSchema" xmlns:xs="http://www.w3.org/2001/XMLSchema" xmlns:p="http://schemas.microsoft.com/office/2006/metadata/properties" xmlns:ns2="69f742e2-1021-42c3-96ef-3d17fd823129" xmlns:ns3="0234f73f-4ded-4f98-ac69-d98971715957" targetNamespace="http://schemas.microsoft.com/office/2006/metadata/properties" ma:root="true" ma:fieldsID="c9553ff3bacc64ac74360dc5def5bfa2" ns2:_="" ns3:_="">
    <xsd:import namespace="69f742e2-1021-42c3-96ef-3d17fd823129"/>
    <xsd:import namespace="0234f73f-4ded-4f98-ac69-d9897171595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EventHashCode" minOccurs="0"/>
                <xsd:element ref="ns2:MediaServiceGenerationTim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f742e2-1021-42c3-96ef-3d17fd8231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234f73f-4ded-4f98-ac69-d9897171595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4D32DB9-E73A-4F04-9CAE-436B1AFA5A9C}"/>
</file>

<file path=customXml/itemProps2.xml><?xml version="1.0" encoding="utf-8"?>
<ds:datastoreItem xmlns:ds="http://schemas.openxmlformats.org/officeDocument/2006/customXml" ds:itemID="{C276606C-4D58-4935-9D7C-BF1843DCDE1C}"/>
</file>

<file path=customXml/itemProps3.xml><?xml version="1.0" encoding="utf-8"?>
<ds:datastoreItem xmlns:ds="http://schemas.openxmlformats.org/officeDocument/2006/customXml" ds:itemID="{1A94BB4B-429C-433E-A998-FCDABFD42FB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Financial Statement Inputs</vt:lpstr>
      <vt:lpstr>IncomeStatements</vt:lpstr>
      <vt:lpstr>BalanceSheets</vt:lpstr>
      <vt:lpstr>CashFlows</vt:lpstr>
      <vt:lpstr>HistoricalRatios</vt:lpstr>
      <vt:lpstr>ProjectedInputs</vt:lpstr>
      <vt:lpstr>ProjectedIncomeStatement</vt:lpstr>
      <vt:lpstr>ProjectedBalanceSheet</vt:lpstr>
      <vt:lpstr>ProjectedCashFlows</vt:lpstr>
      <vt:lpstr>IncomeSensitivity</vt:lpstr>
      <vt:lpstr>IncomeScenario</vt:lpstr>
      <vt:lpstr>BalanceScenario</vt:lpstr>
      <vt:lpstr>HistoricalRatios!Print_Area</vt:lpstr>
    </vt:vector>
  </TitlesOfParts>
  <Company>Holmes</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chadd</dc:creator>
  <cp:lastModifiedBy>Leigh Beatty</cp:lastModifiedBy>
  <cp:lastPrinted>2014-06-02T20:40:02Z</cp:lastPrinted>
  <dcterms:created xsi:type="dcterms:W3CDTF">2013-04-24T14:45:51Z</dcterms:created>
  <dcterms:modified xsi:type="dcterms:W3CDTF">2014-08-22T15:53:08Z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0x0101008DA037FB9E344D4C90A8431F400EE5CF</vt:lpwstr>
  </property>
</Properties>
</file>